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S:\PROCESSOS LICITATÓRIOS\2020\Em Andamento\PAD 235 - Contratação de Serviço de Auxiliares Técnicos Terceirizados\"/>
    </mc:Choice>
  </mc:AlternateContent>
  <xr:revisionPtr revIDLastSave="0" documentId="13_ncr:1_{4726AD2D-09BB-4BB0-8A72-092093216AA0}" xr6:coauthVersionLast="47" xr6:coauthVersionMax="47" xr10:uidLastSave="{00000000-0000-0000-0000-000000000000}"/>
  <bookViews>
    <workbookView xWindow="49170" yWindow="-1800" windowWidth="20730" windowHeight="11040" firstSheet="5" activeTab="8" xr2:uid="{425700BB-CCA3-465F-BE4A-3E280126D125}"/>
  </bookViews>
  <sheets>
    <sheet name="Quantidade de Cargo" sheetId="64" state="hidden" r:id="rId1"/>
    <sheet name="Modelo de Proposta" sheetId="103" r:id="rId2"/>
    <sheet name="Salario Base" sheetId="79" r:id="rId3"/>
    <sheet name="Quantidade de Hora-Extra" sheetId="31" state="hidden" r:id="rId4"/>
    <sheet name="Dados de Passagens e Diarias" sheetId="69" state="hidden" r:id="rId5"/>
    <sheet name="Quadro de Resumo dos Custos" sheetId="71" r:id="rId6"/>
    <sheet name="A. Departamento Pessoal" sheetId="35" r:id="rId7"/>
    <sheet name="A. Jurídico" sheetId="84" r:id="rId8"/>
    <sheet name="Arquivista" sheetId="85" r:id="rId9"/>
    <sheet name="Assist. Administrativo I" sheetId="86" r:id="rId10"/>
    <sheet name="Assist. Administrativo II" sheetId="87" r:id="rId11"/>
    <sheet name="Assist. Contábil II" sheetId="88" r:id="rId12"/>
    <sheet name="Assist. Comunicação" sheetId="89" r:id="rId13"/>
    <sheet name="Assist. Financeiro I" sheetId="90" r:id="rId14"/>
    <sheet name="Copeiro II" sheetId="104" r:id="rId15"/>
    <sheet name="Designer Gráfico" sheetId="93" r:id="rId16"/>
    <sheet name="Motorista" sheetId="94" r:id="rId17"/>
    <sheet name="Oficial de Manutenção" sheetId="95" r:id="rId18"/>
    <sheet name="Técnico de Suporte I" sheetId="96" r:id="rId19"/>
    <sheet name="Técnico de Suporte II" sheetId="97" r:id="rId20"/>
    <sheet name="Uniforme Tipo I" sheetId="80" r:id="rId21"/>
    <sheet name="Uniforme Tipo II" sheetId="83" r:id="rId22"/>
    <sheet name="Manutenção Equip." sheetId="82" r:id="rId23"/>
    <sheet name="EPI's" sheetId="81" r:id="rId24"/>
    <sheet name="Previsão de Hora-Extra" sheetId="72" r:id="rId25"/>
    <sheet name="Hr-Extra Copeira II" sheetId="91" r:id="rId26"/>
    <sheet name="Hr-Extra Motorista" sheetId="99" r:id="rId27"/>
    <sheet name="Hr-Extra Oficial de Manutenção" sheetId="100" r:id="rId28"/>
    <sheet name="Hr-Extra Técnico de Suporte I" sheetId="101" r:id="rId29"/>
    <sheet name="Hr-Extra Técnico de Suporte II" sheetId="102" r:id="rId30"/>
    <sheet name="Diarias" sheetId="65" r:id="rId31"/>
    <sheet name="Passagens" sheetId="66" r:id="rId32"/>
  </sheets>
  <definedNames>
    <definedName name="_xlnm.Print_Area" localSheetId="6">'A. Departamento Pessoal'!$A$1:$D$109</definedName>
    <definedName name="_xlnm.Print_Area" localSheetId="7">'A. Jurídico'!$A$1:$D$109</definedName>
    <definedName name="_xlnm.Print_Area" localSheetId="8">Arquivista!$A$1:$D$109</definedName>
    <definedName name="_xlnm.Print_Area" localSheetId="9">'Assist. Administrativo I'!$A$1:$D$109</definedName>
    <definedName name="_xlnm.Print_Area" localSheetId="10">'Assist. Administrativo II'!$A$1:$D$109</definedName>
    <definedName name="_xlnm.Print_Area" localSheetId="12">'Assist. Comunicação'!$A$1:$D$109</definedName>
    <definedName name="_xlnm.Print_Area" localSheetId="11">'Assist. Contábil II'!$A$1:$D$109</definedName>
    <definedName name="_xlnm.Print_Area" localSheetId="13">'Assist. Financeiro I'!$A$1:$D$109</definedName>
    <definedName name="_xlnm.Print_Area" localSheetId="14">'Copeiro II'!$A$1:$D$109</definedName>
    <definedName name="_xlnm.Print_Area" localSheetId="4">'Dados de Passagens e Diarias'!$A$1:$E$6</definedName>
    <definedName name="_xlnm.Print_Area" localSheetId="15">'Designer Gráfico'!$A$1:$D$109</definedName>
    <definedName name="_xlnm.Print_Area" localSheetId="30">Diarias!$A$1:$F$29</definedName>
    <definedName name="_xlnm.Print_Area" localSheetId="25">'Hr-Extra Copeira II'!$A$1:$D$107</definedName>
    <definedName name="_xlnm.Print_Area" localSheetId="26">'Hr-Extra Motorista'!$A$1:$D$106</definedName>
    <definedName name="_xlnm.Print_Area" localSheetId="27">'Hr-Extra Oficial de Manutenção'!$A$1:$D$106</definedName>
    <definedName name="_xlnm.Print_Area" localSheetId="28">'Hr-Extra Técnico de Suporte I'!$A$1:$D$106</definedName>
    <definedName name="_xlnm.Print_Area" localSheetId="29">'Hr-Extra Técnico de Suporte II'!$A$1:$D$106</definedName>
    <definedName name="_xlnm.Print_Area" localSheetId="22">'Manutenção Equip.'!$A$1:$F$7</definedName>
    <definedName name="_xlnm.Print_Area" localSheetId="1">'Modelo de Proposta'!$A$1:$I$35</definedName>
    <definedName name="_xlnm.Print_Area" localSheetId="16">Motorista!$A$1:$D$109</definedName>
    <definedName name="_xlnm.Print_Area" localSheetId="17">'Oficial de Manutenção'!$A$1:$D$109</definedName>
    <definedName name="_xlnm.Print_Area" localSheetId="31">Passagens!$A$1:$F$29</definedName>
    <definedName name="_xlnm.Print_Area" localSheetId="24">'Previsão de Hora-Extra'!$A$1:$F$21</definedName>
    <definedName name="_xlnm.Print_Area" localSheetId="5">'Quadro de Resumo dos Custos'!$A$1:$H$36</definedName>
    <definedName name="_xlnm.Print_Area" localSheetId="0">'Quantidade de Cargo'!$A$1:$R$39</definedName>
    <definedName name="_xlnm.Print_Area" localSheetId="3">'Quantidade de Hora-Extra'!$A$1:$F$9</definedName>
    <definedName name="_xlnm.Print_Area" localSheetId="2">'Salario Base'!$A$1:$F$21</definedName>
    <definedName name="_xlnm.Print_Area" localSheetId="18">'Técnico de Suporte I'!$A$1:$D$109</definedName>
    <definedName name="_xlnm.Print_Area" localSheetId="19">'Técnico de Suporte II'!$A$1:$D$109</definedName>
    <definedName name="_xlnm.Print_Area" localSheetId="20">'Uniforme Tipo I'!$A$1:$F$13</definedName>
    <definedName name="_xlnm.Print_Area" localSheetId="21">'Uniforme Tipo II'!$A$1:$F$18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7" i="71" l="1"/>
  <c r="F18" i="71" s="1"/>
  <c r="D11" i="104"/>
  <c r="D66" i="104" s="1"/>
  <c r="D11" i="91"/>
  <c r="B3" i="104"/>
  <c r="B2" i="104"/>
  <c r="C90" i="104"/>
  <c r="C84" i="104"/>
  <c r="C80" i="104"/>
  <c r="D71" i="104"/>
  <c r="D70" i="104"/>
  <c r="D69" i="104"/>
  <c r="D68" i="104"/>
  <c r="D67" i="104"/>
  <c r="D65" i="104"/>
  <c r="D64" i="104"/>
  <c r="D63" i="104"/>
  <c r="D62" i="104"/>
  <c r="C42" i="104"/>
  <c r="C41" i="104"/>
  <c r="C40" i="104"/>
  <c r="C43" i="104" s="1"/>
  <c r="D98" i="104" s="1"/>
  <c r="C36" i="104"/>
  <c r="C35" i="104"/>
  <c r="C34" i="104"/>
  <c r="C33" i="104"/>
  <c r="C32" i="104"/>
  <c r="C31" i="104"/>
  <c r="C30" i="104"/>
  <c r="C29" i="104"/>
  <c r="C37" i="104" s="1"/>
  <c r="C28" i="104"/>
  <c r="C25" i="104"/>
  <c r="C54" i="104" s="1"/>
  <c r="C55" i="104" s="1"/>
  <c r="D101" i="104" s="1"/>
  <c r="G31" i="103"/>
  <c r="D96" i="104" l="1"/>
  <c r="D12" i="104"/>
  <c r="D13" i="104" s="1"/>
  <c r="C46" i="104"/>
  <c r="C47" i="104" s="1"/>
  <c r="D99" i="104" s="1"/>
  <c r="D102" i="104" s="1"/>
  <c r="D97" i="104"/>
  <c r="D72" i="104"/>
  <c r="C107" i="104" s="1"/>
  <c r="C50" i="104"/>
  <c r="C51" i="104" s="1"/>
  <c r="D100" i="104" s="1"/>
  <c r="D63" i="102"/>
  <c r="D62" i="102"/>
  <c r="C82" i="102"/>
  <c r="C76" i="102"/>
  <c r="C72" i="102"/>
  <c r="C42" i="102"/>
  <c r="C41" i="102"/>
  <c r="C40" i="102"/>
  <c r="C36" i="102"/>
  <c r="C35" i="102"/>
  <c r="C34" i="102"/>
  <c r="C33" i="102"/>
  <c r="C32" i="102"/>
  <c r="C31" i="102"/>
  <c r="C30" i="102"/>
  <c r="C29" i="102"/>
  <c r="C28" i="102"/>
  <c r="C25" i="102"/>
  <c r="D93" i="102" s="1"/>
  <c r="D11" i="102"/>
  <c r="B3" i="102"/>
  <c r="B2" i="102"/>
  <c r="D63" i="101"/>
  <c r="D62" i="101"/>
  <c r="C82" i="101"/>
  <c r="C76" i="101"/>
  <c r="C72" i="101"/>
  <c r="C42" i="101"/>
  <c r="C41" i="101"/>
  <c r="C40" i="101"/>
  <c r="C36" i="101"/>
  <c r="C35" i="101"/>
  <c r="C34" i="101"/>
  <c r="C33" i="101"/>
  <c r="C32" i="101"/>
  <c r="C31" i="101"/>
  <c r="C30" i="101"/>
  <c r="C29" i="101"/>
  <c r="C28" i="101"/>
  <c r="C25" i="101"/>
  <c r="D93" i="101" s="1"/>
  <c r="D11" i="101"/>
  <c r="B3" i="101"/>
  <c r="B2" i="101"/>
  <c r="D63" i="100"/>
  <c r="D62" i="100"/>
  <c r="C82" i="100"/>
  <c r="C76" i="100"/>
  <c r="C72" i="100"/>
  <c r="C42" i="100"/>
  <c r="C41" i="100"/>
  <c r="C40" i="100"/>
  <c r="C36" i="100"/>
  <c r="C35" i="100"/>
  <c r="C34" i="100"/>
  <c r="C33" i="100"/>
  <c r="C32" i="100"/>
  <c r="C31" i="100"/>
  <c r="C30" i="100"/>
  <c r="C29" i="100"/>
  <c r="C28" i="100"/>
  <c r="C25" i="100"/>
  <c r="C54" i="100" s="1"/>
  <c r="C55" i="100" s="1"/>
  <c r="D98" i="100" s="1"/>
  <c r="D11" i="100"/>
  <c r="B3" i="100"/>
  <c r="B2" i="100"/>
  <c r="D63" i="99"/>
  <c r="D62" i="99"/>
  <c r="C82" i="99"/>
  <c r="C76" i="99"/>
  <c r="C72" i="99"/>
  <c r="C42" i="99"/>
  <c r="C41" i="99"/>
  <c r="C40" i="99"/>
  <c r="C36" i="99"/>
  <c r="C35" i="99"/>
  <c r="C34" i="99"/>
  <c r="C33" i="99"/>
  <c r="C32" i="99"/>
  <c r="C31" i="99"/>
  <c r="C30" i="99"/>
  <c r="C29" i="99"/>
  <c r="C28" i="99"/>
  <c r="C25" i="99"/>
  <c r="D93" i="99" s="1"/>
  <c r="D11" i="99"/>
  <c r="B3" i="99"/>
  <c r="B2" i="99"/>
  <c r="D64" i="91"/>
  <c r="D62" i="91"/>
  <c r="D18" i="72"/>
  <c r="C18" i="72"/>
  <c r="D9" i="72"/>
  <c r="C9" i="72"/>
  <c r="D17" i="72"/>
  <c r="D16" i="72"/>
  <c r="D15" i="72"/>
  <c r="D14" i="72"/>
  <c r="D13" i="72"/>
  <c r="D8" i="72"/>
  <c r="D7" i="72"/>
  <c r="D6" i="72"/>
  <c r="D5" i="72"/>
  <c r="D4" i="72"/>
  <c r="C16" i="72"/>
  <c r="C15" i="72"/>
  <c r="C14" i="72"/>
  <c r="C13" i="72"/>
  <c r="C7" i="72"/>
  <c r="C6" i="72"/>
  <c r="C5" i="72"/>
  <c r="C4" i="72"/>
  <c r="D11" i="97"/>
  <c r="D12" i="97" s="1"/>
  <c r="D13" i="97" s="1"/>
  <c r="B3" i="97"/>
  <c r="B2" i="97"/>
  <c r="C90" i="97"/>
  <c r="C84" i="97"/>
  <c r="C80" i="97"/>
  <c r="D69" i="97"/>
  <c r="D68" i="97"/>
  <c r="D67" i="97"/>
  <c r="D65" i="97"/>
  <c r="D64" i="97"/>
  <c r="D62" i="97"/>
  <c r="D63" i="97" s="1"/>
  <c r="C42" i="97"/>
  <c r="C41" i="97"/>
  <c r="C40" i="97"/>
  <c r="C43" i="97" s="1"/>
  <c r="D98" i="97" s="1"/>
  <c r="C36" i="97"/>
  <c r="C35" i="97"/>
  <c r="C34" i="97"/>
  <c r="C33" i="97"/>
  <c r="C32" i="97"/>
  <c r="C31" i="97"/>
  <c r="C30" i="97"/>
  <c r="C29" i="97"/>
  <c r="C28" i="97"/>
  <c r="C25" i="97"/>
  <c r="D96" i="97" s="1"/>
  <c r="D11" i="96"/>
  <c r="D12" i="96" s="1"/>
  <c r="B3" i="96"/>
  <c r="B2" i="96"/>
  <c r="C90" i="96"/>
  <c r="C84" i="96"/>
  <c r="C80" i="96"/>
  <c r="D69" i="96"/>
  <c r="D68" i="96"/>
  <c r="D67" i="96"/>
  <c r="D65" i="96"/>
  <c r="D64" i="96"/>
  <c r="D63" i="96"/>
  <c r="D62" i="96"/>
  <c r="C42" i="96"/>
  <c r="C41" i="96"/>
  <c r="C40" i="96"/>
  <c r="C43" i="96" s="1"/>
  <c r="D98" i="96" s="1"/>
  <c r="C36" i="96"/>
  <c r="C35" i="96"/>
  <c r="C34" i="96"/>
  <c r="C33" i="96"/>
  <c r="C32" i="96"/>
  <c r="C31" i="96"/>
  <c r="C30" i="96"/>
  <c r="C29" i="96"/>
  <c r="C28" i="96"/>
  <c r="C25" i="96"/>
  <c r="D96" i="96" s="1"/>
  <c r="D40" i="104" l="1"/>
  <c r="D24" i="104"/>
  <c r="C105" i="104"/>
  <c r="D33" i="104"/>
  <c r="D29" i="104"/>
  <c r="D22" i="104"/>
  <c r="D21" i="104"/>
  <c r="D50" i="104"/>
  <c r="D51" i="104" s="1"/>
  <c r="D42" i="104"/>
  <c r="D36" i="104"/>
  <c r="D32" i="104"/>
  <c r="D28" i="104"/>
  <c r="D20" i="104"/>
  <c r="D19" i="104"/>
  <c r="D41" i="104"/>
  <c r="D35" i="104"/>
  <c r="D31" i="104"/>
  <c r="D18" i="104"/>
  <c r="D54" i="104"/>
  <c r="D55" i="104" s="1"/>
  <c r="D30" i="104"/>
  <c r="D17" i="104"/>
  <c r="D46" i="104"/>
  <c r="D47" i="104" s="1"/>
  <c r="D34" i="104"/>
  <c r="D23" i="104"/>
  <c r="C56" i="104"/>
  <c r="C37" i="97"/>
  <c r="D97" i="97" s="1"/>
  <c r="C37" i="96"/>
  <c r="D97" i="96" s="1"/>
  <c r="D66" i="97"/>
  <c r="C43" i="102"/>
  <c r="D95" i="102" s="1"/>
  <c r="C37" i="102"/>
  <c r="D94" i="102" s="1"/>
  <c r="C54" i="102"/>
  <c r="C55" i="102" s="1"/>
  <c r="D98" i="102" s="1"/>
  <c r="D12" i="102"/>
  <c r="D13" i="102" s="1"/>
  <c r="C46" i="102"/>
  <c r="C47" i="102" s="1"/>
  <c r="D96" i="102" s="1"/>
  <c r="D64" i="102"/>
  <c r="C104" i="102" s="1"/>
  <c r="C50" i="102"/>
  <c r="C51" i="102" s="1"/>
  <c r="D97" i="102" s="1"/>
  <c r="C43" i="101"/>
  <c r="D95" i="101" s="1"/>
  <c r="C37" i="101"/>
  <c r="D94" i="101" s="1"/>
  <c r="C50" i="101"/>
  <c r="C51" i="101" s="1"/>
  <c r="D97" i="101" s="1"/>
  <c r="D12" i="101"/>
  <c r="D13" i="101" s="1"/>
  <c r="D64" i="101"/>
  <c r="C104" i="101" s="1"/>
  <c r="C54" i="101"/>
  <c r="C55" i="101" s="1"/>
  <c r="D98" i="101" s="1"/>
  <c r="D64" i="100"/>
  <c r="C104" i="100" s="1"/>
  <c r="C37" i="100"/>
  <c r="D94" i="100" s="1"/>
  <c r="C43" i="100"/>
  <c r="D95" i="100" s="1"/>
  <c r="C50" i="100"/>
  <c r="C51" i="100" s="1"/>
  <c r="D97" i="100" s="1"/>
  <c r="D12" i="100"/>
  <c r="D93" i="100"/>
  <c r="D13" i="100"/>
  <c r="D34" i="100" s="1"/>
  <c r="C43" i="99"/>
  <c r="D95" i="99" s="1"/>
  <c r="C37" i="99"/>
  <c r="D94" i="99" s="1"/>
  <c r="C50" i="99"/>
  <c r="C51" i="99" s="1"/>
  <c r="D97" i="99" s="1"/>
  <c r="D12" i="99"/>
  <c r="D13" i="99" s="1"/>
  <c r="D64" i="99"/>
  <c r="C104" i="99" s="1"/>
  <c r="C54" i="99"/>
  <c r="C55" i="99" s="1"/>
  <c r="D98" i="99" s="1"/>
  <c r="D40" i="97"/>
  <c r="D34" i="97"/>
  <c r="D30" i="97"/>
  <c r="D24" i="97"/>
  <c r="D17" i="97"/>
  <c r="C105" i="97"/>
  <c r="D23" i="97"/>
  <c r="D33" i="97"/>
  <c r="D29" i="97"/>
  <c r="D22" i="97"/>
  <c r="D21" i="97"/>
  <c r="D35" i="97"/>
  <c r="D18" i="97"/>
  <c r="D42" i="97"/>
  <c r="D36" i="97"/>
  <c r="D32" i="97"/>
  <c r="D28" i="97"/>
  <c r="D20" i="97"/>
  <c r="D19" i="97"/>
  <c r="D41" i="97"/>
  <c r="D31" i="97"/>
  <c r="C50" i="97"/>
  <c r="C51" i="97" s="1"/>
  <c r="D100" i="97" s="1"/>
  <c r="C46" i="97"/>
  <c r="C47" i="97" s="1"/>
  <c r="D99" i="97" s="1"/>
  <c r="D102" i="97" s="1"/>
  <c r="C54" i="97"/>
  <c r="C55" i="97" s="1"/>
  <c r="D101" i="97" s="1"/>
  <c r="D13" i="96"/>
  <c r="D40" i="96" s="1"/>
  <c r="D66" i="96"/>
  <c r="D32" i="96"/>
  <c r="C50" i="96"/>
  <c r="C51" i="96" s="1"/>
  <c r="D100" i="96" s="1"/>
  <c r="C54" i="96"/>
  <c r="C55" i="96" s="1"/>
  <c r="D101" i="96" s="1"/>
  <c r="D11" i="95"/>
  <c r="D12" i="95" s="1"/>
  <c r="D13" i="95" s="1"/>
  <c r="B3" i="95"/>
  <c r="B2" i="95"/>
  <c r="C90" i="95"/>
  <c r="C84" i="95"/>
  <c r="C80" i="95"/>
  <c r="D68" i="95"/>
  <c r="D67" i="95"/>
  <c r="D65" i="95"/>
  <c r="D63" i="95"/>
  <c r="D64" i="95" s="1"/>
  <c r="D62" i="95"/>
  <c r="C42" i="95"/>
  <c r="C41" i="95"/>
  <c r="C40" i="95"/>
  <c r="C36" i="95"/>
  <c r="C35" i="95"/>
  <c r="C34" i="95"/>
  <c r="C33" i="95"/>
  <c r="C32" i="95"/>
  <c r="C31" i="95"/>
  <c r="C30" i="95"/>
  <c r="C29" i="95"/>
  <c r="C28" i="95"/>
  <c r="C25" i="95"/>
  <c r="D96" i="95" s="1"/>
  <c r="D65" i="94"/>
  <c r="D11" i="94"/>
  <c r="D12" i="94" s="1"/>
  <c r="D13" i="94" s="1"/>
  <c r="B3" i="94"/>
  <c r="B2" i="94"/>
  <c r="C90" i="94"/>
  <c r="C84" i="94"/>
  <c r="C80" i="94"/>
  <c r="D69" i="94"/>
  <c r="D68" i="94"/>
  <c r="D66" i="94"/>
  <c r="D64" i="94"/>
  <c r="D63" i="94"/>
  <c r="D62" i="94"/>
  <c r="C42" i="94"/>
  <c r="C41" i="94"/>
  <c r="C40" i="94"/>
  <c r="C50" i="94" s="1"/>
  <c r="C51" i="94" s="1"/>
  <c r="D100" i="94" s="1"/>
  <c r="C36" i="94"/>
  <c r="C35" i="94"/>
  <c r="C34" i="94"/>
  <c r="C33" i="94"/>
  <c r="C32" i="94"/>
  <c r="C31" i="94"/>
  <c r="C30" i="94"/>
  <c r="C29" i="94"/>
  <c r="C28" i="94"/>
  <c r="C25" i="94"/>
  <c r="D96" i="94" s="1"/>
  <c r="D11" i="93"/>
  <c r="D12" i="93" s="1"/>
  <c r="B3" i="93"/>
  <c r="B2" i="93"/>
  <c r="C90" i="93"/>
  <c r="C84" i="93"/>
  <c r="C80" i="93"/>
  <c r="D69" i="93"/>
  <c r="D68" i="93"/>
  <c r="D67" i="93"/>
  <c r="D65" i="93"/>
  <c r="D64" i="93"/>
  <c r="D62" i="93"/>
  <c r="C42" i="93"/>
  <c r="C41" i="93"/>
  <c r="C40" i="93"/>
  <c r="C36" i="93"/>
  <c r="C35" i="93"/>
  <c r="C34" i="93"/>
  <c r="C33" i="93"/>
  <c r="C32" i="93"/>
  <c r="C31" i="93"/>
  <c r="C30" i="93"/>
  <c r="C29" i="93"/>
  <c r="C28" i="93"/>
  <c r="C25" i="93"/>
  <c r="D96" i="93" s="1"/>
  <c r="D12" i="91"/>
  <c r="B3" i="91"/>
  <c r="B2" i="91"/>
  <c r="C83" i="91"/>
  <c r="C77" i="91"/>
  <c r="C73" i="91"/>
  <c r="D63" i="91"/>
  <c r="C42" i="91"/>
  <c r="C41" i="91"/>
  <c r="C40" i="91"/>
  <c r="C36" i="91"/>
  <c r="C35" i="91"/>
  <c r="C34" i="91"/>
  <c r="C33" i="91"/>
  <c r="C32" i="91"/>
  <c r="C31" i="91"/>
  <c r="C30" i="91"/>
  <c r="C29" i="91"/>
  <c r="C28" i="91"/>
  <c r="C25" i="91"/>
  <c r="D94" i="91" s="1"/>
  <c r="D11" i="90"/>
  <c r="B3" i="90"/>
  <c r="B2" i="90"/>
  <c r="C90" i="90"/>
  <c r="C84" i="90"/>
  <c r="C80" i="90"/>
  <c r="D69" i="90"/>
  <c r="D68" i="90"/>
  <c r="D67" i="90"/>
  <c r="D65" i="90"/>
  <c r="D64" i="90"/>
  <c r="D62" i="90"/>
  <c r="D63" i="90" s="1"/>
  <c r="C42" i="90"/>
  <c r="C41" i="90"/>
  <c r="C40" i="90"/>
  <c r="C36" i="90"/>
  <c r="C35" i="90"/>
  <c r="C34" i="90"/>
  <c r="C33" i="90"/>
  <c r="C32" i="90"/>
  <c r="C31" i="90"/>
  <c r="C30" i="90"/>
  <c r="C29" i="90"/>
  <c r="C28" i="90"/>
  <c r="C25" i="90"/>
  <c r="D96" i="90" s="1"/>
  <c r="D11" i="89"/>
  <c r="D12" i="89" s="1"/>
  <c r="B3" i="89"/>
  <c r="B2" i="89"/>
  <c r="C90" i="89"/>
  <c r="C84" i="89"/>
  <c r="C80" i="89"/>
  <c r="D69" i="89"/>
  <c r="D68" i="89"/>
  <c r="D67" i="89"/>
  <c r="D65" i="89"/>
  <c r="D64" i="89"/>
  <c r="D62" i="89"/>
  <c r="D63" i="89" s="1"/>
  <c r="C42" i="89"/>
  <c r="C41" i="89"/>
  <c r="C40" i="89"/>
  <c r="C43" i="89" s="1"/>
  <c r="D98" i="89" s="1"/>
  <c r="C36" i="89"/>
  <c r="C35" i="89"/>
  <c r="C34" i="89"/>
  <c r="C33" i="89"/>
  <c r="C32" i="89"/>
  <c r="C31" i="89"/>
  <c r="C30" i="89"/>
  <c r="C29" i="89"/>
  <c r="C28" i="89"/>
  <c r="C25" i="89"/>
  <c r="D96" i="89" s="1"/>
  <c r="D11" i="88"/>
  <c r="D12" i="88" s="1"/>
  <c r="D13" i="88" s="1"/>
  <c r="B3" i="88"/>
  <c r="B2" i="88"/>
  <c r="C90" i="88"/>
  <c r="C84" i="88"/>
  <c r="C80" i="88"/>
  <c r="D69" i="88"/>
  <c r="D68" i="88"/>
  <c r="D67" i="88"/>
  <c r="D65" i="88"/>
  <c r="D64" i="88"/>
  <c r="D62" i="88"/>
  <c r="D63" i="88" s="1"/>
  <c r="C42" i="88"/>
  <c r="C41" i="88"/>
  <c r="C40" i="88"/>
  <c r="C43" i="88" s="1"/>
  <c r="D98" i="88" s="1"/>
  <c r="C36" i="88"/>
  <c r="C35" i="88"/>
  <c r="C34" i="88"/>
  <c r="C33" i="88"/>
  <c r="C32" i="88"/>
  <c r="C31" i="88"/>
  <c r="C30" i="88"/>
  <c r="C29" i="88"/>
  <c r="C28" i="88"/>
  <c r="C37" i="88" s="1"/>
  <c r="D97" i="88" s="1"/>
  <c r="C25" i="88"/>
  <c r="D96" i="88" s="1"/>
  <c r="D11" i="87"/>
  <c r="D12" i="87" s="1"/>
  <c r="B3" i="87"/>
  <c r="B2" i="87"/>
  <c r="C90" i="87"/>
  <c r="C84" i="87"/>
  <c r="C80" i="87"/>
  <c r="D69" i="87"/>
  <c r="D68" i="87"/>
  <c r="D67" i="87"/>
  <c r="D65" i="87"/>
  <c r="D64" i="87"/>
  <c r="D62" i="87"/>
  <c r="D63" i="87" s="1"/>
  <c r="C42" i="87"/>
  <c r="C41" i="87"/>
  <c r="C40" i="87"/>
  <c r="C36" i="87"/>
  <c r="C35" i="87"/>
  <c r="C34" i="87"/>
  <c r="C33" i="87"/>
  <c r="C32" i="87"/>
  <c r="C31" i="87"/>
  <c r="C30" i="87"/>
  <c r="C29" i="87"/>
  <c r="C28" i="87"/>
  <c r="C25" i="87"/>
  <c r="D96" i="87" s="1"/>
  <c r="D11" i="86"/>
  <c r="B3" i="86"/>
  <c r="B2" i="86"/>
  <c r="C90" i="86"/>
  <c r="C84" i="86"/>
  <c r="C80" i="86"/>
  <c r="D69" i="86"/>
  <c r="D68" i="86"/>
  <c r="D67" i="86"/>
  <c r="D65" i="86"/>
  <c r="D64" i="86"/>
  <c r="D62" i="86"/>
  <c r="C42" i="86"/>
  <c r="C41" i="86"/>
  <c r="C40" i="86"/>
  <c r="C36" i="86"/>
  <c r="C35" i="86"/>
  <c r="C34" i="86"/>
  <c r="C33" i="86"/>
  <c r="C32" i="86"/>
  <c r="C31" i="86"/>
  <c r="C30" i="86"/>
  <c r="C29" i="86"/>
  <c r="C28" i="86"/>
  <c r="C25" i="86"/>
  <c r="D96" i="86" s="1"/>
  <c r="D11" i="85"/>
  <c r="D12" i="85" s="1"/>
  <c r="D13" i="85" s="1"/>
  <c r="B3" i="85"/>
  <c r="B2" i="85"/>
  <c r="C90" i="85"/>
  <c r="C84" i="85"/>
  <c r="C80" i="85"/>
  <c r="D69" i="85"/>
  <c r="D68" i="85"/>
  <c r="D67" i="85"/>
  <c r="D65" i="85"/>
  <c r="D64" i="85"/>
  <c r="D62" i="85"/>
  <c r="D63" i="85" s="1"/>
  <c r="C42" i="85"/>
  <c r="C41" i="85"/>
  <c r="C40" i="85"/>
  <c r="C43" i="85" s="1"/>
  <c r="D98" i="85" s="1"/>
  <c r="C36" i="85"/>
  <c r="C35" i="85"/>
  <c r="C34" i="85"/>
  <c r="C33" i="85"/>
  <c r="C32" i="85"/>
  <c r="C31" i="85"/>
  <c r="C30" i="85"/>
  <c r="C29" i="85"/>
  <c r="C28" i="85"/>
  <c r="C25" i="85"/>
  <c r="D96" i="85" s="1"/>
  <c r="D11" i="84"/>
  <c r="D12" i="84" s="1"/>
  <c r="D13" i="84" s="1"/>
  <c r="B3" i="84"/>
  <c r="B2" i="84"/>
  <c r="C90" i="84"/>
  <c r="C84" i="84"/>
  <c r="C80" i="84"/>
  <c r="D69" i="84"/>
  <c r="D68" i="84"/>
  <c r="D67" i="84"/>
  <c r="D65" i="84"/>
  <c r="D64" i="84"/>
  <c r="D62" i="84"/>
  <c r="C42" i="84"/>
  <c r="C41" i="84"/>
  <c r="C40" i="84"/>
  <c r="C43" i="84" s="1"/>
  <c r="D98" i="84" s="1"/>
  <c r="C36" i="84"/>
  <c r="C35" i="84"/>
  <c r="C34" i="84"/>
  <c r="C33" i="84"/>
  <c r="C32" i="84"/>
  <c r="C31" i="84"/>
  <c r="C30" i="84"/>
  <c r="C29" i="84"/>
  <c r="C28" i="84"/>
  <c r="C25" i="84"/>
  <c r="D96" i="84" s="1"/>
  <c r="C41" i="35"/>
  <c r="C36" i="35"/>
  <c r="C35" i="35"/>
  <c r="C34" i="35"/>
  <c r="C33" i="35"/>
  <c r="C32" i="35"/>
  <c r="C31" i="35"/>
  <c r="C29" i="35"/>
  <c r="B3" i="35"/>
  <c r="F15" i="83"/>
  <c r="F14" i="83"/>
  <c r="F12" i="83"/>
  <c r="F8" i="83"/>
  <c r="F7" i="83"/>
  <c r="F6" i="83"/>
  <c r="F13" i="83"/>
  <c r="A12" i="83"/>
  <c r="A13" i="83" s="1"/>
  <c r="F5" i="83"/>
  <c r="F4" i="83"/>
  <c r="F9" i="83" s="1"/>
  <c r="A4" i="83"/>
  <c r="A5" i="83" s="1"/>
  <c r="A3" i="82"/>
  <c r="F3" i="82"/>
  <c r="F4" i="82" s="1"/>
  <c r="F4" i="81"/>
  <c r="F5" i="81"/>
  <c r="F6" i="81"/>
  <c r="F7" i="81"/>
  <c r="F8" i="81"/>
  <c r="F14" i="81"/>
  <c r="F15" i="81"/>
  <c r="F16" i="81"/>
  <c r="D43" i="104" l="1"/>
  <c r="D25" i="104"/>
  <c r="D37" i="104"/>
  <c r="C56" i="97"/>
  <c r="D42" i="96"/>
  <c r="D22" i="96"/>
  <c r="C46" i="96"/>
  <c r="C47" i="96" s="1"/>
  <c r="D99" i="96" s="1"/>
  <c r="D102" i="96" s="1"/>
  <c r="D29" i="96"/>
  <c r="D36" i="96"/>
  <c r="D33" i="96"/>
  <c r="D20" i="96"/>
  <c r="D17" i="96"/>
  <c r="D25" i="96" s="1"/>
  <c r="D28" i="96"/>
  <c r="D18" i="96"/>
  <c r="C37" i="93"/>
  <c r="D97" i="93" s="1"/>
  <c r="C43" i="93"/>
  <c r="D98" i="93" s="1"/>
  <c r="C37" i="90"/>
  <c r="D97" i="90" s="1"/>
  <c r="C43" i="90"/>
  <c r="D98" i="90" s="1"/>
  <c r="D66" i="90"/>
  <c r="C37" i="89"/>
  <c r="D97" i="89" s="1"/>
  <c r="C37" i="87"/>
  <c r="D97" i="87" s="1"/>
  <c r="C43" i="87"/>
  <c r="D98" i="87" s="1"/>
  <c r="C43" i="86"/>
  <c r="D98" i="86" s="1"/>
  <c r="C37" i="86"/>
  <c r="D97" i="86" s="1"/>
  <c r="C37" i="85"/>
  <c r="D97" i="85" s="1"/>
  <c r="C37" i="84"/>
  <c r="D97" i="84" s="1"/>
  <c r="C50" i="84"/>
  <c r="C51" i="84" s="1"/>
  <c r="D100" i="84" s="1"/>
  <c r="D34" i="96"/>
  <c r="D37" i="96" s="1"/>
  <c r="D66" i="85"/>
  <c r="D21" i="96"/>
  <c r="C105" i="96"/>
  <c r="D35" i="96"/>
  <c r="D31" i="96"/>
  <c r="D23" i="96"/>
  <c r="D13" i="93"/>
  <c r="D33" i="93" s="1"/>
  <c r="D19" i="96"/>
  <c r="D41" i="96"/>
  <c r="D24" i="96"/>
  <c r="D66" i="93"/>
  <c r="D30" i="96"/>
  <c r="C56" i="102"/>
  <c r="D24" i="102"/>
  <c r="D23" i="102"/>
  <c r="D18" i="102"/>
  <c r="C102" i="102"/>
  <c r="D21" i="102"/>
  <c r="D17" i="102"/>
  <c r="D33" i="102"/>
  <c r="D32" i="102"/>
  <c r="D22" i="102"/>
  <c r="D19" i="102"/>
  <c r="D30" i="102"/>
  <c r="D29" i="102"/>
  <c r="D20" i="102"/>
  <c r="D54" i="102"/>
  <c r="D55" i="102" s="1"/>
  <c r="D31" i="102"/>
  <c r="D40" i="102"/>
  <c r="D42" i="102"/>
  <c r="D41" i="102"/>
  <c r="D34" i="102"/>
  <c r="D36" i="102"/>
  <c r="D35" i="102"/>
  <c r="D28" i="102"/>
  <c r="D99" i="102"/>
  <c r="D46" i="102"/>
  <c r="D47" i="102" s="1"/>
  <c r="D50" i="102"/>
  <c r="D51" i="102" s="1"/>
  <c r="D24" i="101"/>
  <c r="D19" i="101"/>
  <c r="D32" i="101"/>
  <c r="D50" i="101"/>
  <c r="D51" i="101" s="1"/>
  <c r="D35" i="101"/>
  <c r="D17" i="101"/>
  <c r="D28" i="101"/>
  <c r="D31" i="101"/>
  <c r="D33" i="101"/>
  <c r="C102" i="101"/>
  <c r="D21" i="101"/>
  <c r="D20" i="101"/>
  <c r="D23" i="101"/>
  <c r="D41" i="101"/>
  <c r="D18" i="101"/>
  <c r="D40" i="101"/>
  <c r="D34" i="101"/>
  <c r="D29" i="101"/>
  <c r="D42" i="101"/>
  <c r="D30" i="101"/>
  <c r="D22" i="101"/>
  <c r="D36" i="101"/>
  <c r="C46" i="101"/>
  <c r="C47" i="101" s="1"/>
  <c r="D96" i="101" s="1"/>
  <c r="D99" i="101" s="1"/>
  <c r="D54" i="101"/>
  <c r="D55" i="101" s="1"/>
  <c r="C46" i="100"/>
  <c r="C47" i="100" s="1"/>
  <c r="D96" i="100" s="1"/>
  <c r="D99" i="100" s="1"/>
  <c r="D29" i="100"/>
  <c r="D24" i="100"/>
  <c r="D30" i="100"/>
  <c r="D22" i="100"/>
  <c r="D41" i="100"/>
  <c r="D19" i="100"/>
  <c r="C102" i="100"/>
  <c r="D32" i="100"/>
  <c r="D35" i="100"/>
  <c r="D23" i="100"/>
  <c r="D21" i="100"/>
  <c r="D18" i="100"/>
  <c r="D31" i="100"/>
  <c r="D36" i="100"/>
  <c r="D50" i="100"/>
  <c r="D51" i="100" s="1"/>
  <c r="D17" i="100"/>
  <c r="D20" i="100"/>
  <c r="D42" i="100"/>
  <c r="D54" i="100"/>
  <c r="D55" i="100" s="1"/>
  <c r="D40" i="100"/>
  <c r="D33" i="100"/>
  <c r="D28" i="100"/>
  <c r="C46" i="99"/>
  <c r="C47" i="99" s="1"/>
  <c r="D96" i="99" s="1"/>
  <c r="D99" i="99" s="1"/>
  <c r="C102" i="99"/>
  <c r="D50" i="99"/>
  <c r="D51" i="99" s="1"/>
  <c r="D31" i="99"/>
  <c r="D33" i="99"/>
  <c r="D19" i="99"/>
  <c r="D21" i="99"/>
  <c r="D40" i="99"/>
  <c r="D41" i="99"/>
  <c r="D42" i="99"/>
  <c r="D34" i="99"/>
  <c r="D30" i="99"/>
  <c r="D32" i="99"/>
  <c r="D17" i="99"/>
  <c r="D18" i="99"/>
  <c r="D36" i="99"/>
  <c r="D35" i="99"/>
  <c r="D24" i="99"/>
  <c r="D29" i="99"/>
  <c r="D28" i="99"/>
  <c r="D23" i="99"/>
  <c r="D22" i="99"/>
  <c r="D20" i="99"/>
  <c r="D54" i="99"/>
  <c r="D55" i="99" s="1"/>
  <c r="C43" i="91"/>
  <c r="D96" i="91" s="1"/>
  <c r="C37" i="91"/>
  <c r="D95" i="91" s="1"/>
  <c r="D37" i="97"/>
  <c r="D25" i="97"/>
  <c r="D43" i="97"/>
  <c r="D46" i="97"/>
  <c r="D47" i="97" s="1"/>
  <c r="D50" i="97"/>
  <c r="D51" i="97" s="1"/>
  <c r="D54" i="97"/>
  <c r="D55" i="97" s="1"/>
  <c r="C56" i="96"/>
  <c r="D43" i="96"/>
  <c r="D50" i="96"/>
  <c r="D51" i="96" s="1"/>
  <c r="D46" i="96"/>
  <c r="D47" i="96" s="1"/>
  <c r="D54" i="96"/>
  <c r="D55" i="96" s="1"/>
  <c r="F17" i="81"/>
  <c r="F18" i="81" s="1"/>
  <c r="F9" i="81"/>
  <c r="F10" i="81" s="1"/>
  <c r="C43" i="95"/>
  <c r="D98" i="95" s="1"/>
  <c r="C37" i="95"/>
  <c r="D97" i="95" s="1"/>
  <c r="D66" i="95"/>
  <c r="D40" i="95"/>
  <c r="D34" i="95"/>
  <c r="D30" i="95"/>
  <c r="D24" i="95"/>
  <c r="C105" i="95"/>
  <c r="D23" i="95"/>
  <c r="D33" i="95"/>
  <c r="D29" i="95"/>
  <c r="D22" i="95"/>
  <c r="D21" i="95"/>
  <c r="D35" i="95"/>
  <c r="D18" i="95"/>
  <c r="D42" i="95"/>
  <c r="D36" i="95"/>
  <c r="D32" i="95"/>
  <c r="D28" i="95"/>
  <c r="D20" i="95"/>
  <c r="D31" i="95"/>
  <c r="D19" i="95"/>
  <c r="D41" i="95"/>
  <c r="D17" i="95"/>
  <c r="C50" i="95"/>
  <c r="C51" i="95" s="1"/>
  <c r="D100" i="95" s="1"/>
  <c r="C46" i="95"/>
  <c r="C47" i="95" s="1"/>
  <c r="D99" i="95" s="1"/>
  <c r="C54" i="95"/>
  <c r="C55" i="95" s="1"/>
  <c r="D101" i="95" s="1"/>
  <c r="C43" i="94"/>
  <c r="D98" i="94" s="1"/>
  <c r="C37" i="94"/>
  <c r="D97" i="94" s="1"/>
  <c r="D40" i="94"/>
  <c r="D34" i="94"/>
  <c r="D30" i="94"/>
  <c r="D24" i="94"/>
  <c r="D21" i="94"/>
  <c r="D36" i="94"/>
  <c r="D28" i="94"/>
  <c r="C105" i="94"/>
  <c r="D23" i="94"/>
  <c r="D50" i="94"/>
  <c r="D51" i="94" s="1"/>
  <c r="D33" i="94"/>
  <c r="D29" i="94"/>
  <c r="D22" i="94"/>
  <c r="D42" i="94"/>
  <c r="D20" i="94"/>
  <c r="D19" i="94"/>
  <c r="D17" i="94"/>
  <c r="D41" i="94"/>
  <c r="D35" i="94"/>
  <c r="D31" i="94"/>
  <c r="D18" i="94"/>
  <c r="D32" i="94"/>
  <c r="D67" i="94"/>
  <c r="C46" i="94"/>
  <c r="C47" i="94" s="1"/>
  <c r="D99" i="94" s="1"/>
  <c r="C54" i="94"/>
  <c r="C55" i="94" s="1"/>
  <c r="D101" i="94" s="1"/>
  <c r="D30" i="93"/>
  <c r="D24" i="93"/>
  <c r="D18" i="93"/>
  <c r="C105" i="93"/>
  <c r="D23" i="93"/>
  <c r="D29" i="93"/>
  <c r="D22" i="93"/>
  <c r="D41" i="93"/>
  <c r="D21" i="93"/>
  <c r="D35" i="93"/>
  <c r="D42" i="93"/>
  <c r="D36" i="93"/>
  <c r="D32" i="93"/>
  <c r="D28" i="93"/>
  <c r="D20" i="93"/>
  <c r="D31" i="93"/>
  <c r="D17" i="93"/>
  <c r="D19" i="93"/>
  <c r="C50" i="93"/>
  <c r="C51" i="93" s="1"/>
  <c r="D100" i="93" s="1"/>
  <c r="C46" i="93"/>
  <c r="C47" i="93" s="1"/>
  <c r="D99" i="93" s="1"/>
  <c r="C54" i="93"/>
  <c r="C55" i="93" s="1"/>
  <c r="D101" i="93" s="1"/>
  <c r="D63" i="93"/>
  <c r="D13" i="91"/>
  <c r="D36" i="91" s="1"/>
  <c r="D65" i="91"/>
  <c r="C105" i="91" s="1"/>
  <c r="C50" i="91"/>
  <c r="C51" i="91" s="1"/>
  <c r="D98" i="91" s="1"/>
  <c r="C46" i="91"/>
  <c r="C47" i="91" s="1"/>
  <c r="D97" i="91" s="1"/>
  <c r="C54" i="91"/>
  <c r="C55" i="91" s="1"/>
  <c r="D99" i="91" s="1"/>
  <c r="D12" i="90"/>
  <c r="D13" i="90" s="1"/>
  <c r="C50" i="90"/>
  <c r="C51" i="90" s="1"/>
  <c r="D100" i="90" s="1"/>
  <c r="C46" i="90"/>
  <c r="C47" i="90" s="1"/>
  <c r="D99" i="90" s="1"/>
  <c r="D102" i="90" s="1"/>
  <c r="C54" i="90"/>
  <c r="C55" i="90" s="1"/>
  <c r="D101" i="90" s="1"/>
  <c r="D13" i="89"/>
  <c r="D17" i="89" s="1"/>
  <c r="D22" i="89"/>
  <c r="D20" i="89"/>
  <c r="D19" i="89"/>
  <c r="D66" i="89"/>
  <c r="C50" i="89"/>
  <c r="C51" i="89" s="1"/>
  <c r="D100" i="89" s="1"/>
  <c r="C46" i="89"/>
  <c r="C47" i="89" s="1"/>
  <c r="D99" i="89" s="1"/>
  <c r="D102" i="89" s="1"/>
  <c r="C54" i="89"/>
  <c r="C55" i="89" s="1"/>
  <c r="D101" i="89" s="1"/>
  <c r="D66" i="88"/>
  <c r="D40" i="88"/>
  <c r="D34" i="88"/>
  <c r="D30" i="88"/>
  <c r="D24" i="88"/>
  <c r="D31" i="88"/>
  <c r="C105" i="88"/>
  <c r="D23" i="88"/>
  <c r="D33" i="88"/>
  <c r="D29" i="88"/>
  <c r="D22" i="88"/>
  <c r="D41" i="88"/>
  <c r="D18" i="88"/>
  <c r="D21" i="88"/>
  <c r="D42" i="88"/>
  <c r="D36" i="88"/>
  <c r="D32" i="88"/>
  <c r="D28" i="88"/>
  <c r="D20" i="88"/>
  <c r="D17" i="88"/>
  <c r="D19" i="88"/>
  <c r="D35" i="88"/>
  <c r="C50" i="88"/>
  <c r="C51" i="88" s="1"/>
  <c r="D100" i="88" s="1"/>
  <c r="C46" i="88"/>
  <c r="C47" i="88" s="1"/>
  <c r="D99" i="88" s="1"/>
  <c r="D102" i="88" s="1"/>
  <c r="C54" i="88"/>
  <c r="C55" i="88" s="1"/>
  <c r="D101" i="88" s="1"/>
  <c r="D13" i="87"/>
  <c r="D29" i="87" s="1"/>
  <c r="D24" i="87"/>
  <c r="C105" i="87"/>
  <c r="D21" i="87"/>
  <c r="D17" i="87"/>
  <c r="D42" i="87"/>
  <c r="D36" i="87"/>
  <c r="D32" i="87"/>
  <c r="D19" i="87"/>
  <c r="D41" i="87"/>
  <c r="D35" i="87"/>
  <c r="D31" i="87"/>
  <c r="D18" i="87"/>
  <c r="D66" i="87"/>
  <c r="C50" i="87"/>
  <c r="C51" i="87" s="1"/>
  <c r="D100" i="87" s="1"/>
  <c r="C46" i="87"/>
  <c r="C47" i="87" s="1"/>
  <c r="D99" i="87" s="1"/>
  <c r="C54" i="87"/>
  <c r="C55" i="87" s="1"/>
  <c r="D101" i="87" s="1"/>
  <c r="D102" i="87" s="1"/>
  <c r="D66" i="86"/>
  <c r="C50" i="86"/>
  <c r="C51" i="86" s="1"/>
  <c r="D100" i="86" s="1"/>
  <c r="D12" i="86"/>
  <c r="D13" i="86" s="1"/>
  <c r="C46" i="86"/>
  <c r="C47" i="86" s="1"/>
  <c r="D99" i="86" s="1"/>
  <c r="C54" i="86"/>
  <c r="C55" i="86" s="1"/>
  <c r="D101" i="86" s="1"/>
  <c r="D63" i="86"/>
  <c r="D40" i="85"/>
  <c r="D34" i="85"/>
  <c r="D30" i="85"/>
  <c r="D24" i="85"/>
  <c r="D41" i="85"/>
  <c r="C105" i="85"/>
  <c r="D23" i="85"/>
  <c r="D33" i="85"/>
  <c r="D29" i="85"/>
  <c r="D22" i="85"/>
  <c r="D21" i="85"/>
  <c r="D28" i="85"/>
  <c r="D19" i="85"/>
  <c r="D35" i="85"/>
  <c r="D42" i="85"/>
  <c r="D36" i="85"/>
  <c r="D32" i="85"/>
  <c r="D20" i="85"/>
  <c r="D31" i="85"/>
  <c r="D18" i="85"/>
  <c r="D17" i="85"/>
  <c r="C50" i="85"/>
  <c r="C51" i="85" s="1"/>
  <c r="D100" i="85" s="1"/>
  <c r="C54" i="85"/>
  <c r="C55" i="85" s="1"/>
  <c r="D101" i="85" s="1"/>
  <c r="C46" i="85"/>
  <c r="C47" i="85" s="1"/>
  <c r="D99" i="85" s="1"/>
  <c r="D102" i="85" s="1"/>
  <c r="D40" i="84"/>
  <c r="D34" i="84"/>
  <c r="D30" i="84"/>
  <c r="C105" i="84"/>
  <c r="D23" i="84"/>
  <c r="D33" i="84"/>
  <c r="D29" i="84"/>
  <c r="D22" i="84"/>
  <c r="D21" i="84"/>
  <c r="D19" i="84"/>
  <c r="D50" i="84"/>
  <c r="D51" i="84" s="1"/>
  <c r="D42" i="84"/>
  <c r="D36" i="84"/>
  <c r="D32" i="84"/>
  <c r="D28" i="84"/>
  <c r="D20" i="84"/>
  <c r="D24" i="84"/>
  <c r="D41" i="84"/>
  <c r="D35" i="84"/>
  <c r="D31" i="84"/>
  <c r="D18" i="84"/>
  <c r="D17" i="84"/>
  <c r="D66" i="84"/>
  <c r="C46" i="84"/>
  <c r="C47" i="84" s="1"/>
  <c r="D99" i="84" s="1"/>
  <c r="D102" i="84" s="1"/>
  <c r="C54" i="84"/>
  <c r="C55" i="84" s="1"/>
  <c r="D101" i="84" s="1"/>
  <c r="D63" i="84"/>
  <c r="F16" i="83"/>
  <c r="F5" i="82"/>
  <c r="F6" i="82"/>
  <c r="D56" i="104" l="1"/>
  <c r="D34" i="93"/>
  <c r="D40" i="93"/>
  <c r="D102" i="93"/>
  <c r="D29" i="89"/>
  <c r="D30" i="87"/>
  <c r="D22" i="87"/>
  <c r="D20" i="87"/>
  <c r="D33" i="87"/>
  <c r="D28" i="87"/>
  <c r="D23" i="87"/>
  <c r="D102" i="86"/>
  <c r="D54" i="84"/>
  <c r="D55" i="84" s="1"/>
  <c r="D23" i="90"/>
  <c r="D33" i="90"/>
  <c r="D31" i="90"/>
  <c r="D41" i="90"/>
  <c r="D21" i="90"/>
  <c r="D36" i="90"/>
  <c r="D28" i="90"/>
  <c r="D19" i="90"/>
  <c r="D30" i="90"/>
  <c r="D35" i="90"/>
  <c r="C105" i="90"/>
  <c r="D17" i="90"/>
  <c r="D35" i="89"/>
  <c r="D50" i="89"/>
  <c r="D51" i="89" s="1"/>
  <c r="D30" i="89"/>
  <c r="D37" i="89" s="1"/>
  <c r="D41" i="89"/>
  <c r="D21" i="89"/>
  <c r="D34" i="89"/>
  <c r="D28" i="89"/>
  <c r="D33" i="89"/>
  <c r="D32" i="89"/>
  <c r="D23" i="89"/>
  <c r="D18" i="89"/>
  <c r="D36" i="89"/>
  <c r="C105" i="89"/>
  <c r="D31" i="89"/>
  <c r="D42" i="89"/>
  <c r="D24" i="89"/>
  <c r="D43" i="102"/>
  <c r="D37" i="102"/>
  <c r="D25" i="102"/>
  <c r="C56" i="101"/>
  <c r="D43" i="101"/>
  <c r="D37" i="101"/>
  <c r="D25" i="101"/>
  <c r="D46" i="101"/>
  <c r="D47" i="101" s="1"/>
  <c r="C56" i="100"/>
  <c r="D46" i="100"/>
  <c r="D47" i="100" s="1"/>
  <c r="D43" i="100"/>
  <c r="D25" i="100"/>
  <c r="D37" i="100"/>
  <c r="C56" i="99"/>
  <c r="D46" i="99"/>
  <c r="D47" i="99" s="1"/>
  <c r="D43" i="99"/>
  <c r="D37" i="99"/>
  <c r="D25" i="99"/>
  <c r="D35" i="91"/>
  <c r="D23" i="91"/>
  <c r="D17" i="91"/>
  <c r="D21" i="91"/>
  <c r="D28" i="91"/>
  <c r="C103" i="91"/>
  <c r="D32" i="91"/>
  <c r="D100" i="91"/>
  <c r="D42" i="91"/>
  <c r="D31" i="91"/>
  <c r="D22" i="91"/>
  <c r="D24" i="91"/>
  <c r="D18" i="91"/>
  <c r="D41" i="91"/>
  <c r="D29" i="91"/>
  <c r="D30" i="91"/>
  <c r="D19" i="91"/>
  <c r="D33" i="91"/>
  <c r="D56" i="97"/>
  <c r="D56" i="96"/>
  <c r="F19" i="81"/>
  <c r="D71" i="95" s="1"/>
  <c r="D102" i="95"/>
  <c r="D43" i="95"/>
  <c r="C56" i="95"/>
  <c r="D46" i="95"/>
  <c r="D47" i="95" s="1"/>
  <c r="D25" i="95"/>
  <c r="D54" i="95"/>
  <c r="D55" i="95" s="1"/>
  <c r="D37" i="95"/>
  <c r="D50" i="95"/>
  <c r="D51" i="95" s="1"/>
  <c r="D25" i="94"/>
  <c r="D43" i="94"/>
  <c r="D102" i="94"/>
  <c r="C56" i="94"/>
  <c r="D37" i="94"/>
  <c r="D46" i="94"/>
  <c r="D47" i="94" s="1"/>
  <c r="D54" i="94"/>
  <c r="D55" i="94" s="1"/>
  <c r="D43" i="93"/>
  <c r="D37" i="93"/>
  <c r="D46" i="93"/>
  <c r="D47" i="93" s="1"/>
  <c r="D50" i="93"/>
  <c r="D51" i="93" s="1"/>
  <c r="D54" i="93"/>
  <c r="D55" i="93" s="1"/>
  <c r="C56" i="93"/>
  <c r="D25" i="93"/>
  <c r="C56" i="91"/>
  <c r="D34" i="91"/>
  <c r="D40" i="91"/>
  <c r="D20" i="91"/>
  <c r="D54" i="91"/>
  <c r="D55" i="91" s="1"/>
  <c r="D46" i="91"/>
  <c r="D47" i="91" s="1"/>
  <c r="D50" i="91"/>
  <c r="D51" i="91" s="1"/>
  <c r="D42" i="90"/>
  <c r="D24" i="90"/>
  <c r="D34" i="90"/>
  <c r="D18" i="90"/>
  <c r="D22" i="90"/>
  <c r="D40" i="90"/>
  <c r="D20" i="90"/>
  <c r="D29" i="90"/>
  <c r="D37" i="90" s="1"/>
  <c r="D54" i="90"/>
  <c r="D55" i="90" s="1"/>
  <c r="D32" i="90"/>
  <c r="D50" i="90"/>
  <c r="D51" i="90" s="1"/>
  <c r="C56" i="90"/>
  <c r="D46" i="90"/>
  <c r="D47" i="90" s="1"/>
  <c r="D40" i="89"/>
  <c r="D43" i="89" s="1"/>
  <c r="C56" i="89"/>
  <c r="D46" i="89"/>
  <c r="D47" i="89" s="1"/>
  <c r="D54" i="89"/>
  <c r="D55" i="89" s="1"/>
  <c r="D25" i="88"/>
  <c r="C56" i="88"/>
  <c r="D37" i="88"/>
  <c r="D43" i="88"/>
  <c r="D46" i="88"/>
  <c r="D47" i="88" s="1"/>
  <c r="D50" i="88"/>
  <c r="D51" i="88" s="1"/>
  <c r="D54" i="88"/>
  <c r="D55" i="88" s="1"/>
  <c r="D34" i="87"/>
  <c r="D37" i="87" s="1"/>
  <c r="D40" i="87"/>
  <c r="D43" i="87" s="1"/>
  <c r="D25" i="87"/>
  <c r="D50" i="87"/>
  <c r="D51" i="87" s="1"/>
  <c r="C56" i="87"/>
  <c r="D46" i="87"/>
  <c r="D47" i="87" s="1"/>
  <c r="D54" i="87"/>
  <c r="D55" i="87" s="1"/>
  <c r="D54" i="86"/>
  <c r="D55" i="86" s="1"/>
  <c r="D46" i="86"/>
  <c r="D47" i="86" s="1"/>
  <c r="D40" i="86"/>
  <c r="D34" i="86"/>
  <c r="D30" i="86"/>
  <c r="D24" i="86"/>
  <c r="C105" i="86"/>
  <c r="D23" i="86"/>
  <c r="D33" i="86"/>
  <c r="D29" i="86"/>
  <c r="D22" i="86"/>
  <c r="D35" i="86"/>
  <c r="D18" i="86"/>
  <c r="D17" i="86"/>
  <c r="D21" i="86"/>
  <c r="D19" i="86"/>
  <c r="D41" i="86"/>
  <c r="D50" i="86"/>
  <c r="D51" i="86" s="1"/>
  <c r="D42" i="86"/>
  <c r="D36" i="86"/>
  <c r="D32" i="86"/>
  <c r="D28" i="86"/>
  <c r="D20" i="86"/>
  <c r="D31" i="86"/>
  <c r="C56" i="86"/>
  <c r="D37" i="85"/>
  <c r="C56" i="85"/>
  <c r="D43" i="85"/>
  <c r="D50" i="85"/>
  <c r="D51" i="85" s="1"/>
  <c r="D46" i="85"/>
  <c r="D47" i="85" s="1"/>
  <c r="D25" i="85"/>
  <c r="D54" i="85"/>
  <c r="D55" i="85" s="1"/>
  <c r="D25" i="84"/>
  <c r="C56" i="84"/>
  <c r="D43" i="84"/>
  <c r="D37" i="84"/>
  <c r="D46" i="84"/>
  <c r="D47" i="84" s="1"/>
  <c r="F7" i="82"/>
  <c r="F17" i="83"/>
  <c r="F18" i="83" s="1"/>
  <c r="D70" i="84" s="1"/>
  <c r="D72" i="84" s="1"/>
  <c r="C107" i="84" s="1"/>
  <c r="F10" i="80"/>
  <c r="F9" i="80"/>
  <c r="A9" i="80"/>
  <c r="A10" i="80" s="1"/>
  <c r="A4" i="80"/>
  <c r="A5" i="80" s="1"/>
  <c r="F4" i="80"/>
  <c r="F5" i="80"/>
  <c r="C106" i="104" l="1"/>
  <c r="D58" i="104"/>
  <c r="D74" i="104" s="1"/>
  <c r="D71" i="96"/>
  <c r="D71" i="97"/>
  <c r="D56" i="93"/>
  <c r="D25" i="89"/>
  <c r="D56" i="102"/>
  <c r="C103" i="102" s="1"/>
  <c r="D43" i="90"/>
  <c r="D56" i="99"/>
  <c r="D58" i="99" s="1"/>
  <c r="D66" i="99" s="1"/>
  <c r="D70" i="99" s="1"/>
  <c r="D25" i="90"/>
  <c r="D56" i="90" s="1"/>
  <c r="C106" i="90" s="1"/>
  <c r="D25" i="91"/>
  <c r="D56" i="101"/>
  <c r="D58" i="101" s="1"/>
  <c r="D66" i="101" s="1"/>
  <c r="D71" i="101" s="1"/>
  <c r="D56" i="100"/>
  <c r="D58" i="100" s="1"/>
  <c r="D66" i="100" s="1"/>
  <c r="D37" i="91"/>
  <c r="D43" i="91"/>
  <c r="C106" i="97"/>
  <c r="D58" i="97"/>
  <c r="C106" i="96"/>
  <c r="D58" i="96"/>
  <c r="D71" i="94"/>
  <c r="D71" i="87"/>
  <c r="D71" i="86"/>
  <c r="D70" i="95"/>
  <c r="D71" i="89"/>
  <c r="D71" i="84"/>
  <c r="D71" i="88"/>
  <c r="D71" i="93"/>
  <c r="D71" i="35"/>
  <c r="D71" i="85"/>
  <c r="D71" i="90"/>
  <c r="D56" i="95"/>
  <c r="D56" i="94"/>
  <c r="C106" i="94" s="1"/>
  <c r="C106" i="93"/>
  <c r="D58" i="93"/>
  <c r="D56" i="89"/>
  <c r="D56" i="88"/>
  <c r="D56" i="87"/>
  <c r="D25" i="86"/>
  <c r="D37" i="86"/>
  <c r="D43" i="86"/>
  <c r="D56" i="85"/>
  <c r="D56" i="84"/>
  <c r="C106" i="84" s="1"/>
  <c r="F11" i="80"/>
  <c r="F6" i="80"/>
  <c r="D79" i="104" l="1"/>
  <c r="D78" i="104"/>
  <c r="D58" i="102"/>
  <c r="D66" i="102" s="1"/>
  <c r="F12" i="80"/>
  <c r="F13" i="80" s="1"/>
  <c r="C103" i="99"/>
  <c r="D71" i="102"/>
  <c r="D70" i="102"/>
  <c r="C103" i="101"/>
  <c r="D70" i="101"/>
  <c r="D72" i="101" s="1"/>
  <c r="C103" i="100"/>
  <c r="D71" i="100"/>
  <c r="D70" i="100"/>
  <c r="D71" i="99"/>
  <c r="D72" i="99" s="1"/>
  <c r="D74" i="99" s="1"/>
  <c r="D56" i="91"/>
  <c r="C104" i="91" s="1"/>
  <c r="C106" i="95"/>
  <c r="D58" i="95"/>
  <c r="D58" i="94"/>
  <c r="D58" i="90"/>
  <c r="C106" i="89"/>
  <c r="D58" i="89"/>
  <c r="C106" i="88"/>
  <c r="D58" i="88"/>
  <c r="C106" i="87"/>
  <c r="D58" i="87"/>
  <c r="D56" i="86"/>
  <c r="C106" i="86" s="1"/>
  <c r="C106" i="85"/>
  <c r="D58" i="85"/>
  <c r="D58" i="84"/>
  <c r="D74" i="84" s="1"/>
  <c r="D79" i="84" s="1"/>
  <c r="D69" i="35"/>
  <c r="D68" i="35"/>
  <c r="D67" i="35"/>
  <c r="D65" i="35"/>
  <c r="D64" i="35"/>
  <c r="D62" i="35"/>
  <c r="D63" i="35" s="1"/>
  <c r="D11" i="35"/>
  <c r="D17" i="71"/>
  <c r="D16" i="71"/>
  <c r="D15" i="71"/>
  <c r="D14" i="71"/>
  <c r="D13" i="71"/>
  <c r="D12" i="71"/>
  <c r="D11" i="71"/>
  <c r="D10" i="71"/>
  <c r="D9" i="71"/>
  <c r="D8" i="71"/>
  <c r="D7" i="71"/>
  <c r="D6" i="71"/>
  <c r="D4" i="71"/>
  <c r="B17" i="71"/>
  <c r="B16" i="71"/>
  <c r="B15" i="71"/>
  <c r="B14" i="71"/>
  <c r="B13" i="71"/>
  <c r="B12" i="71"/>
  <c r="B11" i="71"/>
  <c r="B10" i="71"/>
  <c r="B9" i="71"/>
  <c r="B8" i="71"/>
  <c r="B7" i="71"/>
  <c r="B6" i="71"/>
  <c r="B5" i="71"/>
  <c r="E8" i="31"/>
  <c r="F8" i="31" s="1"/>
  <c r="E6" i="31"/>
  <c r="F6" i="31" s="1"/>
  <c r="E5" i="31"/>
  <c r="F5" i="31" s="1"/>
  <c r="E4" i="31"/>
  <c r="F4" i="31" s="1"/>
  <c r="A20" i="79"/>
  <c r="A8" i="31" s="1"/>
  <c r="B8" i="72" s="1"/>
  <c r="B17" i="72" s="1"/>
  <c r="A19" i="79"/>
  <c r="A7" i="31" s="1"/>
  <c r="B7" i="72" s="1"/>
  <c r="B16" i="72" s="1"/>
  <c r="A18" i="79"/>
  <c r="A6" i="31" s="1"/>
  <c r="B6" i="72" s="1"/>
  <c r="B15" i="72" s="1"/>
  <c r="A17" i="79"/>
  <c r="A5" i="31" s="1"/>
  <c r="B5" i="72" s="1"/>
  <c r="B14" i="72" s="1"/>
  <c r="A16" i="79"/>
  <c r="A15" i="79"/>
  <c r="A4" i="31" s="1"/>
  <c r="B4" i="72" s="1"/>
  <c r="B13" i="72" s="1"/>
  <c r="A14" i="79"/>
  <c r="A13" i="79"/>
  <c r="A12" i="79"/>
  <c r="A11" i="79"/>
  <c r="A10" i="79"/>
  <c r="A9" i="79"/>
  <c r="A8" i="79"/>
  <c r="A7" i="79"/>
  <c r="D38" i="64"/>
  <c r="C38" i="64"/>
  <c r="B38" i="64"/>
  <c r="E37" i="64"/>
  <c r="E36" i="64"/>
  <c r="E35" i="64"/>
  <c r="E34" i="64"/>
  <c r="E33" i="64"/>
  <c r="E32" i="64"/>
  <c r="E31" i="64"/>
  <c r="E30" i="64"/>
  <c r="E29" i="64"/>
  <c r="E28" i="64"/>
  <c r="E27" i="64"/>
  <c r="E26" i="64"/>
  <c r="E25" i="64"/>
  <c r="D5" i="71" s="1"/>
  <c r="E24" i="64"/>
  <c r="R17" i="64"/>
  <c r="R16" i="64"/>
  <c r="B9" i="31"/>
  <c r="F32" i="71"/>
  <c r="B4" i="71"/>
  <c r="B2" i="35"/>
  <c r="E5" i="69"/>
  <c r="E3" i="65" s="1"/>
  <c r="B4" i="69"/>
  <c r="E3" i="66" s="1"/>
  <c r="D9" i="31"/>
  <c r="C9" i="31"/>
  <c r="E7" i="31"/>
  <c r="F7" i="31" s="1"/>
  <c r="R8" i="64"/>
  <c r="R7" i="64"/>
  <c r="D80" i="104" l="1"/>
  <c r="D70" i="96"/>
  <c r="D72" i="96" s="1"/>
  <c r="D70" i="97"/>
  <c r="D72" i="97" s="1"/>
  <c r="D69" i="95"/>
  <c r="D72" i="95" s="1"/>
  <c r="C107" i="95" s="1"/>
  <c r="D70" i="87"/>
  <c r="D72" i="87" s="1"/>
  <c r="C107" i="87" s="1"/>
  <c r="D70" i="94"/>
  <c r="D72" i="94" s="1"/>
  <c r="C107" i="94" s="1"/>
  <c r="D70" i="90"/>
  <c r="D72" i="90" s="1"/>
  <c r="C107" i="90" s="1"/>
  <c r="D70" i="86"/>
  <c r="D72" i="86" s="1"/>
  <c r="C107" i="86" s="1"/>
  <c r="D70" i="93"/>
  <c r="D72" i="93" s="1"/>
  <c r="D70" i="85"/>
  <c r="D72" i="85" s="1"/>
  <c r="C107" i="85" s="1"/>
  <c r="D70" i="88"/>
  <c r="D72" i="88" s="1"/>
  <c r="C107" i="88" s="1"/>
  <c r="D70" i="89"/>
  <c r="D72" i="89" s="1"/>
  <c r="C107" i="89" s="1"/>
  <c r="D70" i="35"/>
  <c r="D74" i="87"/>
  <c r="D74" i="88"/>
  <c r="D78" i="88" s="1"/>
  <c r="D58" i="86"/>
  <c r="D74" i="86" s="1"/>
  <c r="D79" i="86" s="1"/>
  <c r="D18" i="71"/>
  <c r="D72" i="102"/>
  <c r="D74" i="102" s="1"/>
  <c r="D74" i="101"/>
  <c r="D72" i="100"/>
  <c r="D76" i="99"/>
  <c r="D58" i="91"/>
  <c r="D67" i="91" s="1"/>
  <c r="D72" i="91" s="1"/>
  <c r="D79" i="87"/>
  <c r="D78" i="87"/>
  <c r="D78" i="84"/>
  <c r="D80" i="84" s="1"/>
  <c r="D82" i="84" s="1"/>
  <c r="D66" i="35"/>
  <c r="E38" i="64"/>
  <c r="F9" i="31"/>
  <c r="E9" i="31"/>
  <c r="D82" i="104" l="1"/>
  <c r="D79" i="88"/>
  <c r="C107" i="97"/>
  <c r="D74" i="97"/>
  <c r="C107" i="96"/>
  <c r="D74" i="96"/>
  <c r="D74" i="90"/>
  <c r="D74" i="85"/>
  <c r="C107" i="93"/>
  <c r="D74" i="93"/>
  <c r="D74" i="95"/>
  <c r="D74" i="89"/>
  <c r="D74" i="94"/>
  <c r="D78" i="86"/>
  <c r="D80" i="86" s="1"/>
  <c r="D82" i="86" s="1"/>
  <c r="D80" i="87"/>
  <c r="D82" i="87" s="1"/>
  <c r="D76" i="102"/>
  <c r="D76" i="101"/>
  <c r="D74" i="100"/>
  <c r="D81" i="99"/>
  <c r="D80" i="99"/>
  <c r="D79" i="99"/>
  <c r="D71" i="91"/>
  <c r="D73" i="91" s="1"/>
  <c r="D75" i="91" s="1"/>
  <c r="D80" i="88"/>
  <c r="D82" i="88" s="1"/>
  <c r="D84" i="84"/>
  <c r="E15" i="65"/>
  <c r="E15" i="66"/>
  <c r="E25" i="66"/>
  <c r="E19" i="66"/>
  <c r="E19" i="65"/>
  <c r="E25" i="65"/>
  <c r="F7" i="66"/>
  <c r="F14" i="66" s="1"/>
  <c r="F7" i="65"/>
  <c r="F14" i="65" s="1"/>
  <c r="D84" i="104" l="1"/>
  <c r="D78" i="96"/>
  <c r="D79" i="96"/>
  <c r="D79" i="94"/>
  <c r="D78" i="94"/>
  <c r="D80" i="94" s="1"/>
  <c r="D82" i="94" s="1"/>
  <c r="D84" i="94" s="1"/>
  <c r="D89" i="94" s="1"/>
  <c r="D78" i="85"/>
  <c r="D79" i="85"/>
  <c r="D78" i="97"/>
  <c r="D80" i="97" s="1"/>
  <c r="D82" i="97" s="1"/>
  <c r="D84" i="97" s="1"/>
  <c r="D79" i="97"/>
  <c r="D79" i="90"/>
  <c r="D78" i="90"/>
  <c r="D80" i="90" s="1"/>
  <c r="D82" i="90"/>
  <c r="D84" i="90" s="1"/>
  <c r="D78" i="95"/>
  <c r="D79" i="95"/>
  <c r="D79" i="89"/>
  <c r="D78" i="89"/>
  <c r="D80" i="89" s="1"/>
  <c r="D82" i="89" s="1"/>
  <c r="D84" i="89" s="1"/>
  <c r="D79" i="93"/>
  <c r="D78" i="93"/>
  <c r="D80" i="93" s="1"/>
  <c r="D82" i="93"/>
  <c r="D84" i="93" s="1"/>
  <c r="D81" i="102"/>
  <c r="D80" i="102"/>
  <c r="D79" i="102"/>
  <c r="D81" i="101"/>
  <c r="D79" i="101"/>
  <c r="D80" i="101"/>
  <c r="D76" i="100"/>
  <c r="D82" i="99"/>
  <c r="D88" i="94"/>
  <c r="D87" i="94"/>
  <c r="D88" i="93"/>
  <c r="D89" i="93"/>
  <c r="D87" i="93"/>
  <c r="D77" i="91"/>
  <c r="D84" i="88"/>
  <c r="D84" i="87"/>
  <c r="D84" i="86"/>
  <c r="D89" i="84"/>
  <c r="D88" i="84"/>
  <c r="D87" i="84"/>
  <c r="F13" i="66"/>
  <c r="F15" i="66" s="1"/>
  <c r="F17" i="66" s="1"/>
  <c r="F13" i="65"/>
  <c r="F15" i="65" s="1"/>
  <c r="F17" i="65" s="1"/>
  <c r="F19" i="65" s="1"/>
  <c r="F22" i="65" s="1"/>
  <c r="D89" i="104" l="1"/>
  <c r="D88" i="104"/>
  <c r="D87" i="104"/>
  <c r="D90" i="104" s="1"/>
  <c r="D87" i="97"/>
  <c r="D89" i="97"/>
  <c r="D88" i="97"/>
  <c r="D80" i="95"/>
  <c r="D82" i="95" s="1"/>
  <c r="D84" i="95" s="1"/>
  <c r="D80" i="85"/>
  <c r="D82" i="85" s="1"/>
  <c r="D84" i="85" s="1"/>
  <c r="D89" i="85" s="1"/>
  <c r="D80" i="96"/>
  <c r="D82" i="96" s="1"/>
  <c r="D84" i="96" s="1"/>
  <c r="D82" i="102"/>
  <c r="C105" i="102" s="1"/>
  <c r="D82" i="101"/>
  <c r="D81" i="100"/>
  <c r="D80" i="100"/>
  <c r="D79" i="100"/>
  <c r="C105" i="99"/>
  <c r="D84" i="99"/>
  <c r="D88" i="99" s="1"/>
  <c r="D90" i="97"/>
  <c r="D90" i="94"/>
  <c r="D90" i="93"/>
  <c r="D92" i="93" s="1"/>
  <c r="E13" i="71" s="1"/>
  <c r="F13" i="71" s="1"/>
  <c r="G13" i="71" s="1"/>
  <c r="H13" i="71" s="1"/>
  <c r="C108" i="93"/>
  <c r="D93" i="93"/>
  <c r="D80" i="91"/>
  <c r="D82" i="91"/>
  <c r="D81" i="91"/>
  <c r="D88" i="90"/>
  <c r="D89" i="90"/>
  <c r="D87" i="90"/>
  <c r="D87" i="89"/>
  <c r="D89" i="89"/>
  <c r="D88" i="89"/>
  <c r="D87" i="88"/>
  <c r="D88" i="88"/>
  <c r="D89" i="88"/>
  <c r="D87" i="87"/>
  <c r="D89" i="87"/>
  <c r="D88" i="87"/>
  <c r="D87" i="86"/>
  <c r="D89" i="86"/>
  <c r="D88" i="86"/>
  <c r="D88" i="85"/>
  <c r="D87" i="85"/>
  <c r="D90" i="84"/>
  <c r="F19" i="66"/>
  <c r="F23" i="65"/>
  <c r="F24" i="65"/>
  <c r="C108" i="104" l="1"/>
  <c r="D92" i="104"/>
  <c r="D87" i="96"/>
  <c r="D88" i="96"/>
  <c r="D89" i="96"/>
  <c r="D84" i="102"/>
  <c r="D88" i="102" s="1"/>
  <c r="D89" i="99"/>
  <c r="E5" i="72" s="1"/>
  <c r="D90" i="99"/>
  <c r="E14" i="72" s="1"/>
  <c r="C106" i="102"/>
  <c r="D105" i="102" s="1"/>
  <c r="C105" i="101"/>
  <c r="D84" i="101"/>
  <c r="D88" i="101" s="1"/>
  <c r="D82" i="100"/>
  <c r="D85" i="99"/>
  <c r="C106" i="99"/>
  <c r="C108" i="97"/>
  <c r="D92" i="97"/>
  <c r="D87" i="95"/>
  <c r="D88" i="95"/>
  <c r="D89" i="95"/>
  <c r="C108" i="94"/>
  <c r="D92" i="94"/>
  <c r="C109" i="93"/>
  <c r="D83" i="91"/>
  <c r="D90" i="90"/>
  <c r="C108" i="90" s="1"/>
  <c r="D90" i="89"/>
  <c r="C108" i="89" s="1"/>
  <c r="D90" i="88"/>
  <c r="D90" i="87"/>
  <c r="C108" i="87" s="1"/>
  <c r="D90" i="86"/>
  <c r="D92" i="86" s="1"/>
  <c r="D90" i="85"/>
  <c r="C108" i="85" s="1"/>
  <c r="C108" i="84"/>
  <c r="C109" i="84" s="1"/>
  <c r="D92" i="84"/>
  <c r="F25" i="65"/>
  <c r="F27" i="65" s="1"/>
  <c r="F28" i="65" s="1"/>
  <c r="F29" i="65" s="1"/>
  <c r="F23" i="71" s="1"/>
  <c r="G23" i="71" s="1"/>
  <c r="H23" i="71" s="1"/>
  <c r="F24" i="66"/>
  <c r="F23" i="66"/>
  <c r="F22" i="66"/>
  <c r="D93" i="104" l="1"/>
  <c r="E12" i="71"/>
  <c r="C109" i="104"/>
  <c r="D92" i="87"/>
  <c r="D90" i="96"/>
  <c r="D92" i="89"/>
  <c r="D93" i="89" s="1"/>
  <c r="C108" i="86"/>
  <c r="D93" i="86"/>
  <c r="E7" i="71"/>
  <c r="F7" i="71" s="1"/>
  <c r="G7" i="71" s="1"/>
  <c r="H7" i="71" s="1"/>
  <c r="D90" i="102"/>
  <c r="E17" i="72" s="1"/>
  <c r="F17" i="72" s="1"/>
  <c r="D89" i="102"/>
  <c r="E8" i="72" s="1"/>
  <c r="F8" i="72" s="1"/>
  <c r="D90" i="101"/>
  <c r="E16" i="72" s="1"/>
  <c r="F16" i="72" s="1"/>
  <c r="D89" i="101"/>
  <c r="E7" i="72" s="1"/>
  <c r="D93" i="97"/>
  <c r="E17" i="71"/>
  <c r="G17" i="71" s="1"/>
  <c r="H17" i="71" s="1"/>
  <c r="D85" i="102"/>
  <c r="D93" i="87"/>
  <c r="E8" i="71"/>
  <c r="F8" i="71" s="1"/>
  <c r="G8" i="71" s="1"/>
  <c r="H8" i="71" s="1"/>
  <c r="D92" i="85"/>
  <c r="D93" i="94"/>
  <c r="E14" i="71"/>
  <c r="F14" i="71" s="1"/>
  <c r="G14" i="71" s="1"/>
  <c r="H14" i="71" s="1"/>
  <c r="D93" i="84"/>
  <c r="E5" i="71"/>
  <c r="F5" i="71" s="1"/>
  <c r="G5" i="71" s="1"/>
  <c r="H5" i="71" s="1"/>
  <c r="D102" i="102"/>
  <c r="D104" i="102"/>
  <c r="D103" i="102"/>
  <c r="D85" i="101"/>
  <c r="C106" i="101"/>
  <c r="D105" i="101" s="1"/>
  <c r="C105" i="100"/>
  <c r="D84" i="100"/>
  <c r="D88" i="100" s="1"/>
  <c r="D104" i="99"/>
  <c r="D102" i="99"/>
  <c r="D103" i="99"/>
  <c r="D105" i="99"/>
  <c r="C106" i="91"/>
  <c r="C107" i="91" s="1"/>
  <c r="D85" i="91"/>
  <c r="D89" i="91" s="1"/>
  <c r="C109" i="97"/>
  <c r="D90" i="95"/>
  <c r="C109" i="94"/>
  <c r="D107" i="93"/>
  <c r="D105" i="93"/>
  <c r="D106" i="93"/>
  <c r="D108" i="93"/>
  <c r="D92" i="90"/>
  <c r="C109" i="90"/>
  <c r="D108" i="90" s="1"/>
  <c r="C109" i="89"/>
  <c r="D108" i="89" s="1"/>
  <c r="C108" i="88"/>
  <c r="D92" i="88"/>
  <c r="C109" i="87"/>
  <c r="D108" i="87" s="1"/>
  <c r="C109" i="86"/>
  <c r="D108" i="86" s="1"/>
  <c r="C109" i="85"/>
  <c r="F25" i="66"/>
  <c r="F27" i="66" s="1"/>
  <c r="D107" i="104" l="1"/>
  <c r="D105" i="104"/>
  <c r="D106" i="104"/>
  <c r="D108" i="104"/>
  <c r="E10" i="71"/>
  <c r="F10" i="71" s="1"/>
  <c r="G10" i="71" s="1"/>
  <c r="H10" i="71" s="1"/>
  <c r="C108" i="96"/>
  <c r="C109" i="96" s="1"/>
  <c r="D92" i="96"/>
  <c r="D93" i="85"/>
  <c r="E6" i="71"/>
  <c r="F6" i="71" s="1"/>
  <c r="G6" i="71" s="1"/>
  <c r="H6" i="71" s="1"/>
  <c r="D93" i="88"/>
  <c r="E9" i="71"/>
  <c r="F9" i="71" s="1"/>
  <c r="G9" i="71" s="1"/>
  <c r="H9" i="71" s="1"/>
  <c r="D90" i="100"/>
  <c r="E15" i="72" s="1"/>
  <c r="F15" i="72" s="1"/>
  <c r="D89" i="100"/>
  <c r="E6" i="72" s="1"/>
  <c r="D93" i="90"/>
  <c r="E11" i="71"/>
  <c r="F11" i="71" s="1"/>
  <c r="G11" i="71" s="1"/>
  <c r="H11" i="71" s="1"/>
  <c r="D90" i="91"/>
  <c r="E4" i="72" s="1"/>
  <c r="D91" i="91"/>
  <c r="E13" i="72" s="1"/>
  <c r="D106" i="102"/>
  <c r="D104" i="101"/>
  <c r="D102" i="101"/>
  <c r="D103" i="101"/>
  <c r="D85" i="100"/>
  <c r="C106" i="100"/>
  <c r="D105" i="100" s="1"/>
  <c r="D106" i="99"/>
  <c r="F12" i="71"/>
  <c r="D86" i="91"/>
  <c r="D107" i="97"/>
  <c r="D105" i="97"/>
  <c r="D106" i="97"/>
  <c r="D108" i="97"/>
  <c r="D107" i="96"/>
  <c r="D105" i="96"/>
  <c r="D106" i="96"/>
  <c r="D108" i="96"/>
  <c r="C108" i="95"/>
  <c r="D92" i="95"/>
  <c r="D107" i="94"/>
  <c r="D105" i="94"/>
  <c r="D106" i="94"/>
  <c r="D108" i="94"/>
  <c r="D109" i="93"/>
  <c r="D103" i="91"/>
  <c r="D105" i="91"/>
  <c r="D104" i="91"/>
  <c r="D106" i="91"/>
  <c r="D107" i="90"/>
  <c r="D105" i="90"/>
  <c r="D106" i="90"/>
  <c r="D107" i="89"/>
  <c r="D105" i="89"/>
  <c r="D106" i="89"/>
  <c r="C109" i="88"/>
  <c r="D105" i="87"/>
  <c r="D107" i="87"/>
  <c r="D106" i="87"/>
  <c r="D107" i="86"/>
  <c r="D105" i="86"/>
  <c r="D106" i="86"/>
  <c r="D105" i="85"/>
  <c r="D107" i="85"/>
  <c r="D106" i="85"/>
  <c r="D108" i="85"/>
  <c r="D107" i="84"/>
  <c r="D105" i="84"/>
  <c r="D106" i="84"/>
  <c r="D108" i="84"/>
  <c r="Q18" i="64"/>
  <c r="P18" i="64"/>
  <c r="O18" i="64"/>
  <c r="N18" i="64"/>
  <c r="M18" i="64"/>
  <c r="L18" i="64"/>
  <c r="K18" i="64"/>
  <c r="J18" i="64"/>
  <c r="I18" i="64"/>
  <c r="H18" i="64"/>
  <c r="G18" i="64"/>
  <c r="F18" i="64"/>
  <c r="E18" i="64"/>
  <c r="D18" i="64"/>
  <c r="C18" i="64"/>
  <c r="B18" i="64"/>
  <c r="R15" i="64"/>
  <c r="R14" i="64"/>
  <c r="R13" i="64"/>
  <c r="R12" i="64"/>
  <c r="R11" i="64"/>
  <c r="R10" i="64"/>
  <c r="R9" i="64"/>
  <c r="R6" i="64"/>
  <c r="R5" i="64"/>
  <c r="R4" i="64"/>
  <c r="F28" i="66"/>
  <c r="F29" i="66" s="1"/>
  <c r="F22" i="71" s="1"/>
  <c r="G22" i="71" s="1"/>
  <c r="H22" i="71" s="1"/>
  <c r="C90" i="35"/>
  <c r="C84" i="35"/>
  <c r="C80" i="35"/>
  <c r="C42" i="35"/>
  <c r="C40" i="35"/>
  <c r="C50" i="35" s="1"/>
  <c r="C30" i="35"/>
  <c r="C28" i="35"/>
  <c r="C37" i="35" s="1"/>
  <c r="C25" i="35"/>
  <c r="C54" i="35" s="1"/>
  <c r="D109" i="104" l="1"/>
  <c r="E16" i="71"/>
  <c r="F16" i="71" s="1"/>
  <c r="G16" i="71" s="1"/>
  <c r="H16" i="71" s="1"/>
  <c r="D93" i="96"/>
  <c r="D93" i="95"/>
  <c r="E15" i="71"/>
  <c r="F15" i="71" s="1"/>
  <c r="G15" i="71" s="1"/>
  <c r="H15" i="71" s="1"/>
  <c r="D109" i="86"/>
  <c r="D109" i="96"/>
  <c r="D106" i="101"/>
  <c r="D102" i="100"/>
  <c r="D104" i="100"/>
  <c r="D103" i="100"/>
  <c r="G12" i="71"/>
  <c r="D109" i="97"/>
  <c r="C109" i="95"/>
  <c r="D108" i="95" s="1"/>
  <c r="D109" i="94"/>
  <c r="D107" i="91"/>
  <c r="D109" i="90"/>
  <c r="D109" i="89"/>
  <c r="D107" i="88"/>
  <c r="D105" i="88"/>
  <c r="D106" i="88"/>
  <c r="D108" i="88"/>
  <c r="D109" i="87"/>
  <c r="D109" i="85"/>
  <c r="D109" i="84"/>
  <c r="C55" i="35"/>
  <c r="D101" i="35" s="1"/>
  <c r="C46" i="35"/>
  <c r="R18" i="64"/>
  <c r="D97" i="35"/>
  <c r="C51" i="35"/>
  <c r="D100" i="35" s="1"/>
  <c r="D12" i="35"/>
  <c r="D13" i="35" s="1"/>
  <c r="C43" i="35"/>
  <c r="D98" i="35" s="1"/>
  <c r="D72" i="35"/>
  <c r="C107" i="35" s="1"/>
  <c r="D96" i="35"/>
  <c r="D36" i="35" l="1"/>
  <c r="C105" i="35"/>
  <c r="D106" i="100"/>
  <c r="H12" i="71"/>
  <c r="D107" i="95"/>
  <c r="D105" i="95"/>
  <c r="D106" i="95"/>
  <c r="D109" i="88"/>
  <c r="C47" i="35"/>
  <c r="D99" i="35" s="1"/>
  <c r="D102" i="35" s="1"/>
  <c r="D32" i="35"/>
  <c r="D28" i="35"/>
  <c r="D20" i="35"/>
  <c r="D19" i="35"/>
  <c r="D42" i="35"/>
  <c r="D35" i="35"/>
  <c r="D18" i="35"/>
  <c r="D17" i="35"/>
  <c r="D40" i="35"/>
  <c r="D29" i="35"/>
  <c r="D31" i="35"/>
  <c r="D54" i="35"/>
  <c r="D55" i="35" s="1"/>
  <c r="D41" i="35"/>
  <c r="D34" i="35"/>
  <c r="D30" i="35"/>
  <c r="D24" i="35"/>
  <c r="D23" i="35"/>
  <c r="D50" i="35"/>
  <c r="D33" i="35"/>
  <c r="D22" i="35"/>
  <c r="D21" i="35"/>
  <c r="D37" i="35" l="1"/>
  <c r="D43" i="35"/>
  <c r="D25" i="35"/>
  <c r="D109" i="95"/>
  <c r="D46" i="35"/>
  <c r="D47" i="35" s="1"/>
  <c r="C56" i="35"/>
  <c r="D51" i="35"/>
  <c r="D56" i="35" l="1"/>
  <c r="D58" i="35" s="1"/>
  <c r="D74" i="35"/>
  <c r="D78" i="35" s="1"/>
  <c r="C106" i="35"/>
  <c r="D79" i="35"/>
  <c r="D80" i="35" l="1"/>
  <c r="D82" i="35" l="1"/>
  <c r="D84" i="35" s="1"/>
  <c r="D88" i="35" s="1"/>
  <c r="F4" i="72" l="1"/>
  <c r="D89" i="35"/>
  <c r="D87" i="35"/>
  <c r="F5" i="72"/>
  <c r="F14" i="72"/>
  <c r="D90" i="35" l="1"/>
  <c r="F7" i="72"/>
  <c r="E9" i="72"/>
  <c r="D92" i="35"/>
  <c r="E4" i="71" s="1"/>
  <c r="E18" i="71" s="1"/>
  <c r="C108" i="35"/>
  <c r="C109" i="35" s="1"/>
  <c r="E18" i="72"/>
  <c r="D93" i="35" l="1"/>
  <c r="F4" i="71"/>
  <c r="D108" i="35"/>
  <c r="D107" i="35"/>
  <c r="D105" i="35"/>
  <c r="D106" i="35"/>
  <c r="F6" i="72"/>
  <c r="F9" i="72" s="1"/>
  <c r="F13" i="72"/>
  <c r="F18" i="72" s="1"/>
  <c r="G4" i="71" l="1"/>
  <c r="G18" i="71" s="1"/>
  <c r="D109" i="35"/>
  <c r="F20" i="72"/>
  <c r="F21" i="72" s="1"/>
  <c r="F21" i="71" s="1"/>
  <c r="F24" i="71" s="1"/>
  <c r="F27" i="71" s="1"/>
  <c r="F20" i="103" s="1"/>
  <c r="H4" i="71" l="1"/>
  <c r="H18" i="71" s="1"/>
  <c r="G21" i="71"/>
  <c r="G24" i="71" s="1"/>
  <c r="F29" i="71"/>
  <c r="F28" i="71" l="1"/>
  <c r="H20" i="103" s="1"/>
  <c r="H21" i="103" s="1"/>
  <c r="D28" i="103" s="1"/>
  <c r="H21" i="71"/>
  <c r="H24" i="7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Abraao Azevedo</author>
  </authors>
  <commentList>
    <comment ref="C2" authorId="0" shapeId="0" xr:uid="{06A4BB43-EB9A-434E-B4A9-E44A6FD35697}">
      <text>
        <r>
          <rPr>
            <b/>
            <sz val="9"/>
            <color indexed="81"/>
            <rFont val="Segoe UI"/>
            <family val="2"/>
          </rPr>
          <t>Campos para preenchimento na cor "CINZA".</t>
        </r>
      </text>
    </comment>
    <comment ref="H4" authorId="0" shapeId="0" xr:uid="{9A3561BC-B7D7-4F2C-B6EC-1583EF0073E9}">
      <text>
        <r>
          <rPr>
            <b/>
            <sz val="9"/>
            <color indexed="81"/>
            <rFont val="Segoe UI"/>
            <family val="2"/>
          </rPr>
          <t>Campo de apenas "um" clique.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I17" authorId="0" shapeId="0" xr:uid="{601E6A21-B1FC-486B-BAF9-9382C261103C}">
      <text>
        <r>
          <rPr>
            <b/>
            <sz val="9"/>
            <color indexed="81"/>
            <rFont val="Segoe UI"/>
            <family val="2"/>
          </rPr>
          <t>Está planilha possui formulas que ajudam no calculo automático de outras células.
Observação importante!!
Não serão aceitos valores (unitário, subtotal, total, geral e global) superiores aos definidos no Termo de Referencia.</t>
        </r>
      </text>
    </comment>
    <comment ref="C34" authorId="0" shapeId="0" xr:uid="{B68A3D1B-F410-4B58-AF6E-DAF46D46B6BB}">
      <text>
        <r>
          <rPr>
            <b/>
            <sz val="9"/>
            <color indexed="81"/>
            <rFont val="Segoe UI"/>
            <family val="2"/>
          </rPr>
          <t>Campos para preenchimento na cor "CINZA".
Por desejo do licitante, pode ser substituido por assinatura digital através de certificado digital no padrão ICP-Brasil, de modo que seja possível consultar a assinatura, conforme Medida Provisória nº 2.200-2, de 24 de agosto de 2001.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Abraao Azevedo</author>
  </authors>
  <commentList>
    <comment ref="F7" authorId="0" shapeId="0" xr:uid="{6B284CA3-1461-4ADD-9B78-012539E88C2D}">
      <text>
        <r>
          <rPr>
            <b/>
            <sz val="9"/>
            <color indexed="81"/>
            <rFont val="Segoe UI"/>
            <family val="2"/>
          </rPr>
          <t>As informações dessa aba estão alimentando as abas relacionadas a cálculo da mão de obra.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<sst xmlns="http://schemas.openxmlformats.org/spreadsheetml/2006/main" count="2891" uniqueCount="346">
  <si>
    <t>PLANILHA ORÇAMENTÁRIA DE REFERÊNCIA DE FORMAÇÃO DE CUSTO DE MÃO DE OBRA</t>
  </si>
  <si>
    <t>Unidade de medida:</t>
  </si>
  <si>
    <t>Tipo de serviço:</t>
  </si>
  <si>
    <t>Quantidade total a contratar (em função da unidade de medida):</t>
  </si>
  <si>
    <t>MÃO DE OBRA VINCULADA À EXECUÇÃO CONTRATUAL</t>
  </si>
  <si>
    <t>Composição da Remuneração</t>
  </si>
  <si>
    <t>%</t>
  </si>
  <si>
    <t>Valor (R$)</t>
  </si>
  <si>
    <t>Salário Base</t>
  </si>
  <si>
    <t>Lucro</t>
  </si>
  <si>
    <t>GRUPO A - ENCARGOS</t>
  </si>
  <si>
    <t>A.01 SEGURIDADE SOCIAL</t>
  </si>
  <si>
    <t>A.02 FGTS</t>
  </si>
  <si>
    <t>A.03 SESI/SESC</t>
  </si>
  <si>
    <t>A.04 SENAI/SENAC</t>
  </si>
  <si>
    <t>A.05 INCRA</t>
  </si>
  <si>
    <t>A.06 SEBRAE</t>
  </si>
  <si>
    <t>A.07 Salário Educação</t>
  </si>
  <si>
    <t>A.08 Riscos Ambientais do Trabalho – RAT x FAP</t>
  </si>
  <si>
    <t>TOTAL - GRUPO A - ENCARGOS</t>
  </si>
  <si>
    <t>TOTAL DA REMUNERAÇÃO (R$)</t>
  </si>
  <si>
    <t>GRUPO B</t>
  </si>
  <si>
    <t>B.01 13º Salário</t>
  </si>
  <si>
    <t>B.03 Aviso Prévio Trabalhado</t>
  </si>
  <si>
    <t>B.04 Auxílio Doença</t>
  </si>
  <si>
    <t>B.05 Acidente de Trabalho</t>
  </si>
  <si>
    <t>B.06 Faltas Legais</t>
  </si>
  <si>
    <t>B.07 Férias sobre Licença Maternidade</t>
  </si>
  <si>
    <t>B.08 Licença Paternidade</t>
  </si>
  <si>
    <t>TOTAL - GRUPO B</t>
  </si>
  <si>
    <t>GRUPO C</t>
  </si>
  <si>
    <t>C.01 Aviso Prévio Indenizado</t>
  </si>
  <si>
    <t>C.02 Indenização Adicional</t>
  </si>
  <si>
    <t>C.03 Indenização (rescisão sem justa causa – multa de 40% do FGTS)</t>
  </si>
  <si>
    <t>TOTAL - GRUPO C</t>
  </si>
  <si>
    <t>GRUPO D</t>
  </si>
  <si>
    <t>D.01 Incidência dos encargos do grupo A sobre o grupo B</t>
  </si>
  <si>
    <t>TOTAL - GRUPO D</t>
  </si>
  <si>
    <t>GRUPO E</t>
  </si>
  <si>
    <t>E.01 Incidência do FGTS sobre o aviso prévio indenizado</t>
  </si>
  <si>
    <t>TOTAL - GRUPO E</t>
  </si>
  <si>
    <t>GRUPO F</t>
  </si>
  <si>
    <t>F.01 Incidência dos encargos do Grupo A sobre os valores constantes da base de cálculo referente ao salário maternidade</t>
  </si>
  <si>
    <t>TOTAL - GRUPO F</t>
  </si>
  <si>
    <t>TOTAL - ENCARGOS SOCIAIS (R$)</t>
  </si>
  <si>
    <t>VALOR TOTAL DE REMUNERAÇÃO + ENCARGOS SOCIAIS (R$)</t>
  </si>
  <si>
    <t>Insumos</t>
  </si>
  <si>
    <t>Uniforme</t>
  </si>
  <si>
    <t>TOTAL - INSUMOS (R$)</t>
  </si>
  <si>
    <t>TOTAL DE REMUNERAÇÃO + ENCARGOS SOCIAIS + INSUMOS (R$)</t>
  </si>
  <si>
    <t>LUCRO E DESPESAS INDIRETAS (LDI)</t>
  </si>
  <si>
    <t>Despesas Administrativas/Operacionais</t>
  </si>
  <si>
    <t>TOTAL - LUCRO E DESPESAS INDIRETAS</t>
  </si>
  <si>
    <t>TRIBUTAÇÃO SOBRE FATURAMENTO</t>
  </si>
  <si>
    <t>ISS</t>
  </si>
  <si>
    <t>COFINS</t>
  </si>
  <si>
    <t>PIS</t>
  </si>
  <si>
    <t>TOTAL - TRIBUTAÇÃO SOBRE FATURAMENTO</t>
  </si>
  <si>
    <t>PREÇO MENSAL PARA 1 (UM) EMPREGADO (R$)</t>
  </si>
  <si>
    <t>Item</t>
  </si>
  <si>
    <t>-</t>
  </si>
  <si>
    <t>CBO:</t>
  </si>
  <si>
    <t>Convenção Coletiva de Trabalho/Acordo/ Dissídio Coletivo de Trabalho:</t>
  </si>
  <si>
    <t>BASE DE CÁLCULO PARA TRIBUTO</t>
  </si>
  <si>
    <t>PREÇO ANUAL PARA 1 (UM) POSTO (R$) - PREÇO MENSAL X 12 MESES</t>
  </si>
  <si>
    <t>Subitem</t>
  </si>
  <si>
    <t>Outros</t>
  </si>
  <si>
    <t>Vlr. Unitário por Empregado R$
(b)</t>
  </si>
  <si>
    <t>1.0</t>
  </si>
  <si>
    <t>Elaborado por:</t>
  </si>
  <si>
    <t>SEÇÃO I - COMPOSIÇÃO DA REMUNERAÇÃO (R$)</t>
  </si>
  <si>
    <t>SEÇÃO II - ENCARGOS SOCIAIS INCIDENTES SOBRE A REMUNERAÇÃO (R$)</t>
  </si>
  <si>
    <t>SEÇÃO III - INSUMOS</t>
  </si>
  <si>
    <t>TOTAL DE REMUNERAÇÃO + ENCARGOS SOCIAIS + INSUMOS + INTRAJORNADA + LDI (R$)</t>
  </si>
  <si>
    <t>TOTAL - GRUPO A   - ENCARGOS</t>
  </si>
  <si>
    <t>TOTAL ENCARGOS SOCIAIS</t>
  </si>
  <si>
    <t>Custo por Demanda</t>
  </si>
  <si>
    <t>Horas Extras</t>
  </si>
  <si>
    <t>Cesta Básica</t>
  </si>
  <si>
    <t>Plano Odontológico</t>
  </si>
  <si>
    <t>Categoria Profissional</t>
  </si>
  <si>
    <t>Qtde. de Profissionais - a</t>
  </si>
  <si>
    <t>Qtde. de Horas-Extras - b</t>
  </si>
  <si>
    <t>Valor da Hora Extra (R$) - c</t>
  </si>
  <si>
    <t>Custo (R$) - d = a x b x c</t>
  </si>
  <si>
    <t>PREÇO HOMEM HORA DE 1 (UM) EMPREGADO (R$)</t>
  </si>
  <si>
    <t>HOMEM-HORA A 50% (R$)</t>
  </si>
  <si>
    <t>HOMEM-HORA A 100% (R$)</t>
  </si>
  <si>
    <t>SEÇÃO IV - LDI E TRIBUTAÇÃO</t>
  </si>
  <si>
    <t>SALARIO.COM.BR</t>
  </si>
  <si>
    <t>CARGO</t>
  </si>
  <si>
    <t>Auxilio Alimentação</t>
  </si>
  <si>
    <t>Desconto do Auxilio Alimentação</t>
  </si>
  <si>
    <t>Vale Transporte</t>
  </si>
  <si>
    <t>Desconto do Vale Transporte</t>
  </si>
  <si>
    <t>Programa de Qualificação Profissional</t>
  </si>
  <si>
    <t>Desconto da Cesta Básica</t>
  </si>
  <si>
    <t>SALARIO MÉDIO</t>
  </si>
  <si>
    <t>QUANTIDADE ANUAL</t>
  </si>
  <si>
    <t>Setor de Divida Ativa</t>
  </si>
  <si>
    <t>Total</t>
  </si>
  <si>
    <t>QUANTIDADE DE EMPREGADOS</t>
  </si>
  <si>
    <t>Setor de Negociação</t>
  </si>
  <si>
    <t>LEGISLAÇÃO</t>
  </si>
  <si>
    <t>Tipo de Serviço</t>
  </si>
  <si>
    <t>Unidade de Medida</t>
  </si>
  <si>
    <t>Quantidade Anual</t>
  </si>
  <si>
    <t>Diárias</t>
  </si>
  <si>
    <t>Und.</t>
  </si>
  <si>
    <t>II - LDI E TRIBUTAÇÃO</t>
  </si>
  <si>
    <t>CUSTO ANUAL ESTIMADO - R$</t>
  </si>
  <si>
    <t>CUSTO MENSAL - R$</t>
  </si>
  <si>
    <t>Seção II - LDI E TRIBUTAÇÃO</t>
  </si>
  <si>
    <t>Passagens</t>
  </si>
  <si>
    <t>Passagens (Aérea, Terrestre e Fluvial)</t>
  </si>
  <si>
    <t>TOTAL - Tipo de Passagens</t>
  </si>
  <si>
    <t>TOTAL - Lucro e Despesas Indiretas</t>
  </si>
  <si>
    <t>TOTAL TIPO DE PASSAGNES + LDI (R$)</t>
  </si>
  <si>
    <t>Seção I - TIPO DE PASSAGENS</t>
  </si>
  <si>
    <t>TOTAL - Tributação Sobre Faturamento</t>
  </si>
  <si>
    <t>Seção I - DIARIA</t>
  </si>
  <si>
    <t>TOTAL DE DIARIA + LDI (R$)</t>
  </si>
  <si>
    <t>TOTAL ANUAL (Total Mensal X 12 Meses) R$ →</t>
  </si>
  <si>
    <t>TOTAL - Diária</t>
  </si>
  <si>
    <t>DIARIAS ESTIMADAS</t>
  </si>
  <si>
    <t>Total por Cargo</t>
  </si>
  <si>
    <t>Total por Setor/Departamento</t>
  </si>
  <si>
    <t>JURISPRUDENCIA DO TRIBUNAL DE CONTAS DA UNIÃO (TCU)</t>
  </si>
  <si>
    <r>
      <rPr>
        <b/>
        <sz val="10"/>
        <color theme="1"/>
        <rFont val="Arial"/>
        <family val="2"/>
      </rPr>
      <t>DECRETO-LEI Nº 5.452, DE 1º DE MAIO DE 1943</t>
    </r>
    <r>
      <rPr>
        <sz val="10"/>
        <color theme="1"/>
        <rFont val="Arial"/>
        <family val="2"/>
      </rPr>
      <t xml:space="preserve">
Art. 59.  A duração diária do trabalho poderá ser acrescida de horas extras, em número não excedente de duas, por acordo individual, convenção coletiva ou acordo coletivo de trabalho.</t>
    </r>
  </si>
  <si>
    <t>Controladoria Geral - CONTROL</t>
  </si>
  <si>
    <t>Departamento de Administração e Gestão de Pessoal - DAGEPE</t>
  </si>
  <si>
    <t>Departamento Contábil - DECON</t>
  </si>
  <si>
    <t>Departamento Financeiro - DEFIN</t>
  </si>
  <si>
    <t>Departamento de Fiscalização - DEFIS</t>
  </si>
  <si>
    <t>Departamento de Registro e Cadastro - DRC</t>
  </si>
  <si>
    <t>Procuradoria Geral - PROGER</t>
  </si>
  <si>
    <t>Secretaria Executiva - SECEX</t>
  </si>
  <si>
    <t>Setor de Comunicação - SECOM</t>
  </si>
  <si>
    <t>Setor de Licitações e Contratos - SELIC</t>
  </si>
  <si>
    <t>Setor de Tecnologia de Informação - STI</t>
  </si>
  <si>
    <t>SECEX</t>
  </si>
  <si>
    <t>SECOM</t>
  </si>
  <si>
    <t>Cargo</t>
  </si>
  <si>
    <t>Posto</t>
  </si>
  <si>
    <t>PASSAGENS ESTIMADAS</t>
  </si>
  <si>
    <t>HORA-EXTRA ESTIMADA POR ANO</t>
  </si>
  <si>
    <t>1.1.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</si>
  <si>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</si>
  <si>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</si>
  <si>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</si>
  <si>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</si>
  <si>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</si>
  <si>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</si>
  <si>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</si>
  <si>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</si>
  <si>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</si>
  <si>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1.11.</t>
  </si>
  <si>
    <t>1.12.</t>
  </si>
  <si>
    <t>1.14.</t>
  </si>
  <si>
    <t>Vlr. Mensal R$ (c = a x b)</t>
  </si>
  <si>
    <t>Vlr. Anual R$ (d = c x 12 meses)</t>
  </si>
  <si>
    <t>Vlr. Bienal R$ (e = d x 2 anos)</t>
  </si>
  <si>
    <t>GRUPO A - ESTIMATIVA DE HORAS EXTRAORDINARIAS ANUAL - SABADO E DIAS ÚTEIS</t>
  </si>
  <si>
    <t>SUBTOTAL - GRUPO A (R$)</t>
  </si>
  <si>
    <t>GRUPO B - ESTIMATIVA DE HORAS EXTRAORDINARIAS ANUAL - DOMINGOS E FERIADOS</t>
  </si>
  <si>
    <t>Qtde. de Profissionais - e</t>
  </si>
  <si>
    <t>Qtde. de Horas-Extras - f</t>
  </si>
  <si>
    <t>Valor da Hora Extra (R$) - g</t>
  </si>
  <si>
    <t>Custo (R$) - h = e x f x g</t>
  </si>
  <si>
    <t>SUBTOTAL - GRUPO B (R$)</t>
  </si>
  <si>
    <t xml:space="preserve">TOTAL GERAL ANUAL DE HORAS EXTRAS (Subtotal Grupo A+B)  R$ → </t>
  </si>
  <si>
    <r>
      <t xml:space="preserve">TOTAL GERAL MENSAL DE HORAS EXTRAS (Total Geral Anual </t>
    </r>
    <r>
      <rPr>
        <b/>
        <sz val="10"/>
        <color theme="1"/>
        <rFont val="Calibri"/>
        <family val="2"/>
      </rPr>
      <t>÷</t>
    </r>
    <r>
      <rPr>
        <b/>
        <sz val="10"/>
        <color theme="1"/>
        <rFont val="Arial"/>
        <family val="2"/>
      </rPr>
      <t xml:space="preserve"> 12 meses)  R$ → </t>
    </r>
  </si>
  <si>
    <t>PREVISÃO DE CUSTO HORAS-EXTRAS</t>
  </si>
  <si>
    <t>CUSTO PARA UMA PASSAGEM - R$</t>
  </si>
  <si>
    <t>PREVISÃO DE CUSTO COM DIARIAS</t>
  </si>
  <si>
    <t>PREVISÃO DE CUSTO COM PASSAGENS</t>
  </si>
  <si>
    <t>CUSTO PARA UMA DIARIA - R$</t>
  </si>
  <si>
    <t>TOTAL BIANUAL (Total Mensal X 24 Meses) R$ →</t>
  </si>
  <si>
    <t>Analista de Departamento Pessoal</t>
  </si>
  <si>
    <t>Arquivista</t>
  </si>
  <si>
    <t>Assistente Administrativo I</t>
  </si>
  <si>
    <t>Assistente Administrativo II</t>
  </si>
  <si>
    <t>Assistente Contábil II</t>
  </si>
  <si>
    <t>Assistente de Comunicação</t>
  </si>
  <si>
    <t>Assistente Financeiro I</t>
  </si>
  <si>
    <t>Copeiro II</t>
  </si>
  <si>
    <t>Designer Gráfico</t>
  </si>
  <si>
    <t>Motorista</t>
  </si>
  <si>
    <t>Oficial de Manutenção</t>
  </si>
  <si>
    <t>Técnico de Suporte I</t>
  </si>
  <si>
    <t>Técnico de Suporte II</t>
  </si>
  <si>
    <t>Corregedoria de Processos Éticos</t>
  </si>
  <si>
    <t>Setor de Arquivo e Protocolo</t>
  </si>
  <si>
    <t>Setor de Ouvidoria</t>
  </si>
  <si>
    <t>Analista Jurídico</t>
  </si>
  <si>
    <t>Total por Escolaridade</t>
  </si>
  <si>
    <t>QUANTIDADE DE CARGOS POR ESCOLARIDADE</t>
  </si>
  <si>
    <t>Nível Fundamental</t>
  </si>
  <si>
    <t>Nível Médio</t>
  </si>
  <si>
    <t>Nível Superior</t>
  </si>
  <si>
    <r>
      <rPr>
        <b/>
        <sz val="10"/>
        <rFont val="Arial"/>
        <family val="2"/>
      </rPr>
      <t xml:space="preserve">DA INSTRUÇÃO NORMATIVA Nº 5, DE 26 DE MAIO DE 2017
</t>
    </r>
    <r>
      <rPr>
        <sz val="10"/>
        <rFont val="Arial"/>
        <family val="2"/>
      </rPr>
      <t xml:space="preserve">Art. 5º É vedado à Administração ou aos seus servidores praticar atos de ingerência na administração da contratada, a exemplo de:
(...)
VI - definir o valor da remuneração dos trabalhadores da empresa contratada para prestar os serviços, </t>
    </r>
    <r>
      <rPr>
        <u/>
        <sz val="10"/>
        <rFont val="Arial"/>
        <family val="2"/>
      </rPr>
      <t>salvo nos casos específicos em que se necessitam de profissionais com habilitação/experiência superior a daqueles que, no mercado, são remunerados pelo piso salarial da categoria, desde que justificadamente;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
ANEXO I - DEFINIÇÕES</t>
    </r>
    <r>
      <rPr>
        <sz val="10"/>
        <rFont val="Arial"/>
        <family val="2"/>
      </rPr>
      <t xml:space="preserve">
XXII - SALÁRIO: valor a ser efetivamente pago ao profissional envolvido diretamente na execução contratual, não podendo ser inferior ao estabelecido em Acordo ou Convenção Coletiva, Sentença Normativa ou lei. </t>
    </r>
    <r>
      <rPr>
        <u/>
        <sz val="10"/>
        <rFont val="Arial"/>
        <family val="2"/>
      </rPr>
      <t>Quando da inexistência destes, o valor poderá ser aquele praticado no mercado ou apurado em publicações ou pesquisas setoriais para a categoria profissional correspondente.</t>
    </r>
  </si>
  <si>
    <t>CCT AM000546/2021</t>
  </si>
  <si>
    <t>CCT - AM000038/2022</t>
  </si>
  <si>
    <t>CCT - AM000248/2022</t>
  </si>
  <si>
    <t>CBO</t>
  </si>
  <si>
    <t>2410-05</t>
  </si>
  <si>
    <t>2613-05</t>
  </si>
  <si>
    <t>4110-10</t>
  </si>
  <si>
    <t>4131-05</t>
  </si>
  <si>
    <t>4131-10</t>
  </si>
  <si>
    <t>1423-35</t>
  </si>
  <si>
    <t>5134-25</t>
  </si>
  <si>
    <t>2624-10</t>
  </si>
  <si>
    <t>7823-05</t>
  </si>
  <si>
    <t>5143-25</t>
  </si>
  <si>
    <t>3172-10</t>
  </si>
  <si>
    <t>1.13.</t>
  </si>
  <si>
    <t>Convenção Coletiva de Trabalho (CCT) - Nº Registro no MTE: AM000546/2021 - Nº Processo: 13621.120880/2021-15 - Nº Solicitação: MR069260/2020</t>
  </si>
  <si>
    <t>Referencia</t>
  </si>
  <si>
    <t>Assistência Social e Familiar</t>
  </si>
  <si>
    <t>Custo Mensal Uniforme (R$) (Custo Global ÷ 12 meses) →</t>
  </si>
  <si>
    <t>Par</t>
  </si>
  <si>
    <t>Custo Total (R$)
(c = a x b)</t>
  </si>
  <si>
    <t>Valor Médio Unitário (R$)
(b)</t>
  </si>
  <si>
    <t>Qtde. Anual
(a)</t>
  </si>
  <si>
    <t>Descrição</t>
  </si>
  <si>
    <t>Masculino</t>
  </si>
  <si>
    <t>Feminino</t>
  </si>
  <si>
    <t>Camisa Gola Polo</t>
  </si>
  <si>
    <t>Custo Global Uniforme Masculino (R$) (∑ do Custo Total) →</t>
  </si>
  <si>
    <t>Custo Global Uniforme Feminino (R$) (∑ do Custo Total) →</t>
  </si>
  <si>
    <r>
      <t xml:space="preserve">Custo Global Médio do Uniforme (R$) [(Uniforme Masc. + Uniforme Fem.) </t>
    </r>
    <r>
      <rPr>
        <b/>
        <sz val="10"/>
        <color theme="1"/>
        <rFont val="Calibri"/>
        <family val="2"/>
      </rPr>
      <t>÷</t>
    </r>
    <r>
      <rPr>
        <b/>
        <sz val="10"/>
        <color theme="1"/>
        <rFont val="Arial"/>
        <family val="2"/>
      </rPr>
      <t xml:space="preserve"> 2]</t>
    </r>
  </si>
  <si>
    <t>Custo Mensal de EPI's (R$) (Custo Mensal do Grupo A + B) →</t>
  </si>
  <si>
    <t>Custo Mensal do Grupo A (R$) (Custo Total do Grupo A ÷ 30 meses) →</t>
  </si>
  <si>
    <t>Custo Global do Grupo B (R$) (∑ do Custo Total) →</t>
  </si>
  <si>
    <t>Luva de vaqueta</t>
  </si>
  <si>
    <t>Uni.</t>
  </si>
  <si>
    <t>Cintos de Segurança do tipo paraquedas</t>
  </si>
  <si>
    <t>Capacete de segurança Aba frontal com suspensão de polietileno com jugular</t>
  </si>
  <si>
    <t>GRUPO B - FORNECIMENTO A CADA 30 MESES</t>
  </si>
  <si>
    <t>Custo Mensal do Grupo A (R$) (Custo Total do Grupo A ÷ 12 meses) →</t>
  </si>
  <si>
    <t>Custo Global do Grupo A (R$) (∑ do Custo Total) →</t>
  </si>
  <si>
    <t>Caixa</t>
  </si>
  <si>
    <t>Máscara de proteção contra poeira, com válvula, descartável</t>
  </si>
  <si>
    <t>Protetor auditivo tipo plug de inserção com cordão, atenuação superior a 15DB</t>
  </si>
  <si>
    <t>Óculos de segurança contra impactos com lente incolor, armação nylon, com proteção UVA e UVB</t>
  </si>
  <si>
    <t>Luva de PVC</t>
  </si>
  <si>
    <t>Bota bidensidade</t>
  </si>
  <si>
    <t>Quant. Total (a)</t>
  </si>
  <si>
    <t>GRUPO A - FORNECIMENTO ANUAL</t>
  </si>
  <si>
    <t>Custo Mensal Manut. Depre. dos Equipamentos (R$) (Custo Mensal Manutenção + Depreciação) →</t>
  </si>
  <si>
    <t>Custo Mensal com a Depreciação dos Equipamentos: [Valor total dos equipamentos x (1,00-0,20)]/(12x8) →</t>
  </si>
  <si>
    <t>Custo Mensal com a Manutenção dos Equipamentos: (k x 83 x V0/VU) →</t>
  </si>
  <si>
    <t>Custo Global (R$) (∑ do Custo Total) →</t>
  </si>
  <si>
    <t>EPI'S</t>
  </si>
  <si>
    <t>UNIFORME DAS ÁREAS ADMINISTRATIVA, COMUNICAÇÃO, TÉCNOLOGIA DA INFORMAÇÃO E COMPLEMENTAR</t>
  </si>
  <si>
    <t>Terno Masculino</t>
  </si>
  <si>
    <t>Camisa Social</t>
  </si>
  <si>
    <t>Gravata</t>
  </si>
  <si>
    <t>Meias</t>
  </si>
  <si>
    <t>Sapatos</t>
  </si>
  <si>
    <t>Terno Feminino</t>
  </si>
  <si>
    <t>Nº de Posto (a)</t>
  </si>
  <si>
    <t>B.02 Férias (incluindo 1/3 constitucional)</t>
  </si>
  <si>
    <t>B.09 Férias adquiridas (não usufruídas)</t>
  </si>
  <si>
    <t>Manutenção de Equipamento</t>
  </si>
  <si>
    <t>MANUTENÇÃO DE EQUIPAMENTO</t>
  </si>
  <si>
    <t>Relogio de Ponto</t>
  </si>
  <si>
    <t>Componentes</t>
  </si>
  <si>
    <t>R$</t>
  </si>
  <si>
    <t>I - COMPOSIÇÃO DE REMUNERAÇÃO</t>
  </si>
  <si>
    <t>II - ENCARGOS SOCIAIS INCIDENTES SOBRE A REMUNERAÇÃO</t>
  </si>
  <si>
    <t>III - INSUMOS</t>
  </si>
  <si>
    <t>IV - LDI E TRIBUTAÇÃO</t>
  </si>
  <si>
    <t>TOTAL</t>
  </si>
  <si>
    <t>Salario.com.br c/c Convenção Coletiva de Trabalho (CCT) - Nº Registro no MTE: AM000546/2021 - Nº Processo: 13621.120880/2021-15 - Nº Solicitação: MR069260/2020</t>
  </si>
  <si>
    <t>Convenção Coletiva de Trabalho (CCT) - Nº Registro no MTE: AM000284/2022 - Nº Processo: 13621.111690/2022-80 - Nº Solicitação: MR030850/2022</t>
  </si>
  <si>
    <t>Assistência Medical (Cobertura ambulatorial e odontológica)</t>
  </si>
  <si>
    <t>Convenção Coletiva de Trabalho (CCT) - Nº Registro no MTE: AM000038/2022 - Nº Processo: 13621.101002/2022-73 - Nº Solicitação: MR000215/2022</t>
  </si>
  <si>
    <t>EPIs</t>
  </si>
  <si>
    <t>2.0</t>
  </si>
  <si>
    <t>2.1.</t>
  </si>
  <si>
    <t>2.2.</t>
  </si>
  <si>
    <t>2.3.</t>
  </si>
  <si>
    <t>PLANILHA ORÇAMENTÁRIA DE REFERÊNCIA DE FORMAÇÃO DE CUSTO DE SERVIÇO EXTRAODINÁRIO</t>
  </si>
  <si>
    <t>VALORES - SERVIÇO EXTRA</t>
  </si>
  <si>
    <t>Mão de Obra</t>
  </si>
  <si>
    <t>TOTAIS DO CONTRATO - MÃO DE OBRA + CUSTO POR DEMANDA</t>
  </si>
  <si>
    <t xml:space="preserve">TOTAL MENSAL (Item 1 + Item 2) R$ → </t>
  </si>
  <si>
    <t>Vlr. Mensal R$ (f)</t>
  </si>
  <si>
    <t>Vlr. Anual R$ (g = f x 12 meses)</t>
  </si>
  <si>
    <t>Vlr. Bienal R$ (h = g x 2 anos)</t>
  </si>
  <si>
    <t>Subtotal Item 2.0 R$ →</t>
  </si>
  <si>
    <r>
      <t>Subtotal Item 1.0 (</t>
    </r>
    <r>
      <rPr>
        <b/>
        <sz val="10"/>
        <color theme="1"/>
        <rFont val="Calibri"/>
        <family val="2"/>
      </rPr>
      <t>∑</t>
    </r>
    <r>
      <rPr>
        <b/>
        <sz val="10"/>
        <color theme="1"/>
        <rFont val="Arial"/>
        <family val="2"/>
      </rPr>
      <t xml:space="preserve"> dos subitens do item 1) R$ →</t>
    </r>
  </si>
  <si>
    <t>Quantidade de Posto</t>
  </si>
  <si>
    <t>QUANTIDADE DE POSTO POR DEPARTAMENTO/SETOR</t>
  </si>
  <si>
    <t>Quantidade de Hora Extra Anual de 50% Por Posto</t>
  </si>
  <si>
    <t>Quantidade de Hora Extra Anual de 100% Por Posto</t>
  </si>
  <si>
    <t>Departamento/Setor</t>
  </si>
  <si>
    <t>Quantidade Total de Hora Extra Anual Por Posto</t>
  </si>
  <si>
    <t>Quantidade Total de Hora Extra Anual Por Cargo</t>
  </si>
  <si>
    <r>
      <rPr>
        <b/>
        <sz val="10"/>
        <rFont val="Arial"/>
        <family val="2"/>
      </rPr>
      <t>Acórdão 1097/2019 Plenário (Representação, Relator Ministro Bruno Dantas)</t>
    </r>
    <r>
      <rPr>
        <sz val="10"/>
        <rFont val="Arial"/>
        <family val="2"/>
      </rPr>
      <t xml:space="preserve">
Admite-se, na contratação por postos de serviço, a fixação de salários em valores superiores aos pisos estabelecidos em convenções coletivas de trabalho, desde que observados os seguintes requisitos: 
</t>
    </r>
    <r>
      <rPr>
        <b/>
        <sz val="10"/>
        <rFont val="Arial"/>
        <family val="2"/>
      </rPr>
      <t>i)</t>
    </r>
    <r>
      <rPr>
        <sz val="10"/>
        <rFont val="Arial"/>
        <family val="2"/>
      </rPr>
      <t xml:space="preserve"> justificativa técnica de que os serviços demandam, por suas características e particularidades, a execução por profissional com nível de qualificação acima da média; 
e </t>
    </r>
    <r>
      <rPr>
        <b/>
        <sz val="10"/>
        <rFont val="Arial"/>
        <family val="2"/>
      </rPr>
      <t>ii)</t>
    </r>
    <r>
      <rPr>
        <sz val="10"/>
        <rFont val="Arial"/>
        <family val="2"/>
      </rPr>
      <t xml:space="preserve"> realização de pesquisa de preços demonstrando a compatibilidade com os valores de mercado para contratações similares, ou seja, comprovação de que no mercado existe tal distinção salarial em função da qualificação do trabalhador.</t>
    </r>
  </si>
  <si>
    <r>
      <rPr>
        <b/>
        <sz val="10"/>
        <rFont val="Arial"/>
        <family val="2"/>
      </rPr>
      <t>Acórdão 2101/2020 Plenário (Pedido de Reexame, Relator Ministro Augusto Nardes)</t>
    </r>
    <r>
      <rPr>
        <sz val="10"/>
        <rFont val="Arial"/>
        <family val="2"/>
      </rPr>
      <t xml:space="preserve">
Admite-se, na contratação por postos de serviço, a fixação de salários em valores superiores aos pisos estabelecidos em convenções coletivas de trabalho, desde que observados os seguintes requisitos: 
</t>
    </r>
    <r>
      <rPr>
        <b/>
        <sz val="10"/>
        <rFont val="Arial"/>
        <family val="2"/>
      </rPr>
      <t>i)</t>
    </r>
    <r>
      <rPr>
        <sz val="10"/>
        <rFont val="Arial"/>
        <family val="2"/>
      </rPr>
      <t xml:space="preserve"> justificativa técnica de que os serviços  demandam, por suas características e particularidades, a execução por profissional com nível de qualificação acima da média; 
e </t>
    </r>
    <r>
      <rPr>
        <b/>
        <sz val="10"/>
        <rFont val="Arial"/>
        <family val="2"/>
      </rPr>
      <t>ii)</t>
    </r>
    <r>
      <rPr>
        <sz val="10"/>
        <rFont val="Arial"/>
        <family val="2"/>
      </rPr>
      <t xml:space="preserve"> realização de pesquisa de preços demonstrando a compatibilidade com os valores de mercado para contratações similares, ou seja, comprovação de que no mercado existe tal distinção salarial em função da qualificação do trabalhador. </t>
    </r>
  </si>
  <si>
    <t>Calça Jeans Feminina</t>
  </si>
  <si>
    <t>Calça Jeans Masculina</t>
  </si>
  <si>
    <t>UNIFORME DA ÁREA JURIDICA</t>
  </si>
  <si>
    <t>RESPONSAVEL LEGAL</t>
  </si>
  <si>
    <t>QUADRO DE RESUMO DOS CUSTOS</t>
  </si>
  <si>
    <t>Responsavel Legal</t>
  </si>
  <si>
    <t>(Nome de Responsavel Legal)</t>
  </si>
  <si>
    <t>ASSINATURA:</t>
  </si>
  <si>
    <t>(Local)/(UF)</t>
  </si>
  <si>
    <t>(___________________________________________)</t>
  </si>
  <si>
    <t>VALOR GLOBAL DA PROPOSTA:</t>
  </si>
  <si>
    <t>• Declaramos conhecer e nos submetemos integralmente a todas as cláusulas e condições do presente Edital e seus anexos.</t>
  </si>
  <si>
    <t>• Declaramos que os serviços aqui ofertados estão de acordo com as especificações do Termo de Referência da presente licitação.</t>
  </si>
  <si>
    <t>• Nos preços apresentados deverão incluir todos os custos com salários, horas extras, encargos sociais, transportes, uniformes, lucros, encargos fiscais e para-fiscais, despesas diretas e indiretas, bem como aquelas indispensáveis para execução do objeto.</t>
  </si>
  <si>
    <t>• Validade da Proposta: ___ (_______) dias, observado o prazo mínimo de 60 (sessenta) dias.</t>
  </si>
  <si>
    <t xml:space="preserve">Vlr. Global (R$) </t>
  </si>
  <si>
    <t>Item Único</t>
  </si>
  <si>
    <r>
      <rPr>
        <b/>
        <sz val="10"/>
        <color theme="1"/>
        <rFont val="Arial"/>
        <family val="2"/>
      </rPr>
      <t>2.1.</t>
    </r>
    <r>
      <rPr>
        <sz val="10"/>
        <color theme="1"/>
        <rFont val="Arial"/>
        <family val="2"/>
      </rPr>
      <t xml:space="preserve"> Apresentar planilha descritiva com marca, valores unitários, total, junto com total geral do grupo, conforme descrito no Termo de Referência - Anexo I do Edital. </t>
    </r>
  </si>
  <si>
    <t>2. PLANILHA DE PREÇOS</t>
  </si>
  <si>
    <t>1. OBJETO</t>
  </si>
  <si>
    <t>Tipo de Conta:</t>
  </si>
  <si>
    <t>Conta Bancária:</t>
  </si>
  <si>
    <t>Nº da agência bancária:</t>
  </si>
  <si>
    <t>Nome do Favorecido:</t>
  </si>
  <si>
    <t>Banco:</t>
  </si>
  <si>
    <t>Fax:</t>
  </si>
  <si>
    <t>Telefone:</t>
  </si>
  <si>
    <t>E-mail:</t>
  </si>
  <si>
    <t>CEP:</t>
  </si>
  <si>
    <t>Cidade:</t>
  </si>
  <si>
    <t>Bairro:</t>
  </si>
  <si>
    <t>Endereço:</t>
  </si>
  <si>
    <t>Optante pelo Simples:</t>
  </si>
  <si>
    <t>CNPJ:</t>
  </si>
  <si>
    <t>Razão Social:</t>
  </si>
  <si>
    <t>Nome de Fantasia:</t>
  </si>
  <si>
    <t>Licitação:</t>
  </si>
  <si>
    <t>Pregão Eletrônico - COREN/AM nº XXX/20XX</t>
  </si>
  <si>
    <r>
      <rPr>
        <b/>
        <sz val="10"/>
        <color theme="1"/>
        <rFont val="Arial"/>
        <family val="2"/>
      </rPr>
      <t>1.1.</t>
    </r>
    <r>
      <rPr>
        <sz val="10"/>
        <color theme="1"/>
        <rFont val="Arial"/>
        <family val="2"/>
      </rPr>
      <t xml:space="preserve"> Contratação de pessoa jurídica especializada para prestação, de forma contínua, de serviços terceirizados acessórios e complementares de suporte e apoio nas áreas administrativas, jurídicas, comunicação, tecnologia da informação e complementar, com dedicação exclusiva de mão de obra, na sede do Conselho Regional de Enfermagem do Amazonas, localizados na cidade de Manaus, estado do Amazonas, conforme condições, quantidades e exigências estabelecidas no Pregão Eletrônico nº __/20__.</t>
    </r>
  </si>
  <si>
    <t>Valor Mensal (R$)</t>
  </si>
  <si>
    <t>Valor Anual (R$)</t>
  </si>
  <si>
    <t>Mão de obra</t>
  </si>
  <si>
    <r>
      <rPr>
        <b/>
        <sz val="10"/>
        <rFont val="Arial"/>
        <family val="2"/>
      </rPr>
      <t>Acórdão 5279/2020 Primeira Câmara (Representação, Relator Ministro Walton Alencar Rodrigues)</t>
    </r>
    <r>
      <rPr>
        <sz val="10"/>
        <rFont val="Arial"/>
        <family val="2"/>
      </rPr>
      <t xml:space="preserve">
É possível exigir piso salarial mínimo acima daquele estabelecido em convenção coletiva de trabalho, desde que o gestor comprove que os patamares fixados no edital da licitação são compatíveis com os preços pagos pelo mercado para serviços com tarefas de complexidade similar.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</si>
</sst>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164" formatCode="0.000"/>
    <numFmt numFmtId="165" formatCode="0.000%"/>
    <numFmt numFmtId="166" formatCode="[$-F800]dddd\,\ mmmm\ dd\,\ yyyy"/>
    <numFmt numFmtId="167" formatCode="&quot;R$&quot;\ #,##0.0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Calibri"/>
      <family val="2"/>
    </font>
    <font>
      <u/>
      <sz val="10"/>
      <name val="Arial"/>
      <family val="2"/>
    </font>
    <font>
      <b/>
      <sz val="11"/>
      <color theme="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8"/>
      <color rgb="FF000000"/>
      <name val="Segoe U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" fillId="0" borderId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263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4" fillId="0" borderId="0" xfId="0" applyNumberFormat="1" applyFont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5" fontId="1" fillId="2" borderId="1" xfId="4" quotePrefix="1" applyNumberFormat="1" applyFont="1" applyFill="1" applyBorder="1" applyAlignment="1" applyProtection="1">
      <alignment horizontal="center" vertical="center"/>
    </xf>
    <xf numFmtId="165" fontId="1" fillId="0" borderId="1" xfId="4" quotePrefix="1" applyNumberFormat="1" applyFont="1" applyFill="1" applyBorder="1" applyAlignment="1" applyProtection="1">
      <alignment horizontal="center" vertical="center"/>
    </xf>
    <xf numFmtId="165" fontId="1" fillId="2" borderId="1" xfId="5" applyNumberFormat="1" applyFont="1" applyFill="1" applyBorder="1" applyAlignment="1" applyProtection="1">
      <alignment horizontal="center" vertical="center"/>
    </xf>
    <xf numFmtId="165" fontId="1" fillId="2" borderId="1" xfId="5" quotePrefix="1" applyNumberFormat="1" applyFont="1" applyFill="1" applyBorder="1" applyAlignment="1" applyProtection="1">
      <alignment horizontal="center" vertical="center"/>
    </xf>
    <xf numFmtId="10" fontId="3" fillId="0" borderId="1" xfId="3" applyNumberFormat="1" applyFont="1" applyBorder="1" applyAlignment="1">
      <alignment horizontal="center" vertical="center" wrapText="1"/>
    </xf>
    <xf numFmtId="165" fontId="3" fillId="0" borderId="1" xfId="3" applyNumberFormat="1" applyFont="1" applyBorder="1" applyAlignment="1">
      <alignment horizontal="center" vertical="center" wrapText="1"/>
    </xf>
    <xf numFmtId="165" fontId="7" fillId="2" borderId="1" xfId="5" quotePrefix="1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65" fontId="3" fillId="0" borderId="1" xfId="3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8" fillId="4" borderId="9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4" fontId="8" fillId="4" borderId="1" xfId="0" applyNumberFormat="1" applyFont="1" applyFill="1" applyBorder="1" applyAlignment="1">
      <alignment horizontal="center" vertical="center" wrapText="1"/>
    </xf>
    <xf numFmtId="165" fontId="4" fillId="5" borderId="1" xfId="3" applyNumberFormat="1" applyFont="1" applyFill="1" applyBorder="1" applyAlignment="1">
      <alignment horizontal="center"/>
    </xf>
    <xf numFmtId="4" fontId="4" fillId="5" borderId="1" xfId="0" applyNumberFormat="1" applyFont="1" applyFill="1" applyBorder="1" applyAlignment="1">
      <alignment horizontal="center" vertical="center" wrapText="1"/>
    </xf>
    <xf numFmtId="165" fontId="4" fillId="5" borderId="1" xfId="3" applyNumberFormat="1" applyFont="1" applyFill="1" applyBorder="1" applyAlignment="1">
      <alignment horizontal="center" vertical="center" wrapText="1"/>
    </xf>
    <xf numFmtId="10" fontId="4" fillId="5" borderId="1" xfId="3" applyNumberFormat="1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4" fontId="3" fillId="2" borderId="1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0" fillId="5" borderId="1" xfId="0" applyFont="1" applyFill="1" applyBorder="1" applyAlignment="1">
      <alignment horizontal="center" vertical="center"/>
    </xf>
    <xf numFmtId="4" fontId="4" fillId="5" borderId="1" xfId="0" applyNumberFormat="1" applyFont="1" applyFill="1" applyBorder="1"/>
    <xf numFmtId="0" fontId="8" fillId="7" borderId="1" xfId="0" applyFont="1" applyFill="1" applyBorder="1" applyAlignment="1">
      <alignment horizontal="center" vertical="center" wrapText="1"/>
    </xf>
    <xf numFmtId="10" fontId="3" fillId="8" borderId="1" xfId="3" applyNumberFormat="1" applyFont="1" applyFill="1" applyBorder="1" applyAlignment="1">
      <alignment horizontal="center" vertical="center" wrapText="1"/>
    </xf>
    <xf numFmtId="2" fontId="3" fillId="8" borderId="1" xfId="0" applyNumberFormat="1" applyFont="1" applyFill="1" applyBorder="1" applyAlignment="1">
      <alignment horizontal="center" vertical="center" wrapText="1"/>
    </xf>
    <xf numFmtId="165" fontId="3" fillId="8" borderId="1" xfId="3" applyNumberFormat="1" applyFont="1" applyFill="1" applyBorder="1" applyAlignment="1">
      <alignment horizontal="right" vertical="center" wrapText="1"/>
    </xf>
    <xf numFmtId="4" fontId="3" fillId="8" borderId="1" xfId="0" applyNumberFormat="1" applyFont="1" applyFill="1" applyBorder="1" applyAlignment="1">
      <alignment horizontal="center" vertical="center" wrapText="1"/>
    </xf>
    <xf numFmtId="4" fontId="3" fillId="8" borderId="10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vertical="center" wrapText="1"/>
    </xf>
    <xf numFmtId="4" fontId="3" fillId="8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vertical="center"/>
    </xf>
    <xf numFmtId="4" fontId="5" fillId="8" borderId="1" xfId="0" applyNumberFormat="1" applyFont="1" applyFill="1" applyBorder="1" applyAlignment="1">
      <alignment horizontal="center" vertical="center"/>
    </xf>
    <xf numFmtId="165" fontId="1" fillId="8" borderId="1" xfId="5" quotePrefix="1" applyNumberFormat="1" applyFont="1" applyFill="1" applyBorder="1" applyAlignment="1" applyProtection="1">
      <alignment horizontal="center" vertical="center"/>
    </xf>
    <xf numFmtId="165" fontId="1" fillId="8" borderId="1" xfId="4" quotePrefix="1" applyNumberFormat="1" applyFont="1" applyFill="1" applyBorder="1" applyAlignment="1" applyProtection="1">
      <alignment horizontal="center" vertical="center"/>
    </xf>
    <xf numFmtId="165" fontId="1" fillId="8" borderId="1" xfId="5" applyNumberFormat="1" applyFont="1" applyFill="1" applyBorder="1" applyAlignment="1" applyProtection="1">
      <alignment horizontal="center" vertical="center"/>
    </xf>
    <xf numFmtId="164" fontId="3" fillId="8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165" fontId="3" fillId="8" borderId="1" xfId="3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4" fontId="4" fillId="5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/>
    </xf>
    <xf numFmtId="4" fontId="4" fillId="5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9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4" fontId="3" fillId="2" borderId="11" xfId="0" applyNumberFormat="1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4" fontId="3" fillId="8" borderId="11" xfId="0" applyNumberFormat="1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/>
    </xf>
    <xf numFmtId="44" fontId="4" fillId="5" borderId="11" xfId="0" applyNumberFormat="1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3" fontId="3" fillId="8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4" fontId="4" fillId="5" borderId="11" xfId="0" applyNumberFormat="1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9" fontId="5" fillId="8" borderId="1" xfId="3" applyFont="1" applyFill="1" applyBorder="1" applyAlignment="1">
      <alignment horizontal="center" vertical="center"/>
    </xf>
    <xf numFmtId="2" fontId="3" fillId="8" borderId="1" xfId="0" applyNumberFormat="1" applyFont="1" applyFill="1" applyBorder="1" applyAlignment="1">
      <alignment horizontal="center" vertical="center"/>
    </xf>
    <xf numFmtId="9" fontId="5" fillId="2" borderId="1" xfId="3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8" fillId="4" borderId="1" xfId="0" applyFont="1" applyFill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167" fontId="3" fillId="0" borderId="1" xfId="0" applyNumberFormat="1" applyFont="1" applyBorder="1" applyAlignment="1">
      <alignment horizontal="center" vertical="center" wrapText="1"/>
    </xf>
    <xf numFmtId="167" fontId="3" fillId="8" borderId="1" xfId="0" applyNumberFormat="1" applyFont="1" applyFill="1" applyBorder="1" applyAlignment="1">
      <alignment horizontal="center" vertical="center" wrapText="1"/>
    </xf>
    <xf numFmtId="167" fontId="4" fillId="5" borderId="1" xfId="0" applyNumberFormat="1" applyFont="1" applyFill="1" applyBorder="1" applyAlignment="1">
      <alignment horizontal="center" vertical="center" wrapText="1"/>
    </xf>
    <xf numFmtId="2" fontId="5" fillId="8" borderId="1" xfId="3" applyNumberFormat="1" applyFont="1" applyFill="1" applyBorder="1" applyAlignment="1">
      <alignment horizontal="center" vertical="center"/>
    </xf>
    <xf numFmtId="0" fontId="3" fillId="8" borderId="12" xfId="0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4" fillId="0" borderId="2" xfId="0" applyFont="1" applyBorder="1" applyAlignment="1"/>
    <xf numFmtId="0" fontId="4" fillId="0" borderId="0" xfId="0" applyFont="1" applyBorder="1" applyAlignment="1"/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1" fillId="9" borderId="5" xfId="0" applyFont="1" applyFill="1" applyBorder="1"/>
    <xf numFmtId="0" fontId="8" fillId="6" borderId="3" xfId="0" applyFont="1" applyFill="1" applyBorder="1"/>
    <xf numFmtId="0" fontId="1" fillId="9" borderId="3" xfId="0" applyFont="1" applyFill="1" applyBorder="1"/>
    <xf numFmtId="0" fontId="8" fillId="6" borderId="6" xfId="0" applyFont="1" applyFill="1" applyBorder="1"/>
    <xf numFmtId="0" fontId="8" fillId="6" borderId="3" xfId="0" applyFont="1" applyFill="1" applyBorder="1" applyAlignment="1">
      <alignment horizontal="center"/>
    </xf>
    <xf numFmtId="0" fontId="8" fillId="6" borderId="6" xfId="0" applyFont="1" applyFill="1" applyBorder="1" applyAlignment="1">
      <alignment horizontal="center"/>
    </xf>
    <xf numFmtId="0" fontId="8" fillId="4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/>
    </xf>
    <xf numFmtId="0" fontId="8" fillId="6" borderId="6" xfId="0" applyFont="1" applyFill="1" applyBorder="1" applyAlignment="1">
      <alignment horizontal="right"/>
    </xf>
    <xf numFmtId="0" fontId="8" fillId="6" borderId="3" xfId="0" applyFont="1" applyFill="1" applyBorder="1" applyAlignment="1">
      <alignment horizontal="right"/>
    </xf>
    <xf numFmtId="0" fontId="1" fillId="9" borderId="3" xfId="0" applyFont="1" applyFill="1" applyBorder="1" applyAlignment="1">
      <alignment horizontal="left"/>
    </xf>
    <xf numFmtId="0" fontId="1" fillId="9" borderId="5" xfId="0" applyFont="1" applyFill="1" applyBorder="1" applyAlignment="1">
      <alignment horizontal="left"/>
    </xf>
    <xf numFmtId="0" fontId="8" fillId="6" borderId="6" xfId="0" applyFont="1" applyFill="1" applyBorder="1" applyAlignment="1">
      <alignment horizontal="left"/>
    </xf>
    <xf numFmtId="0" fontId="8" fillId="6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5" xfId="0" applyFont="1" applyFill="1" applyBorder="1" applyAlignment="1">
      <alignment horizontal="center"/>
    </xf>
    <xf numFmtId="0" fontId="8" fillId="6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0" fillId="9" borderId="3" xfId="0" applyFont="1" applyFill="1" applyBorder="1" applyAlignment="1">
      <alignment horizontal="center"/>
    </xf>
    <xf numFmtId="0" fontId="3" fillId="9" borderId="0" xfId="0" applyFont="1" applyFill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4" borderId="0" xfId="0" applyFont="1" applyFill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5" borderId="0" xfId="0" applyFont="1" applyFill="1" applyAlignment="1">
      <alignment horizontal="right" vertical="center" wrapText="1"/>
    </xf>
    <xf numFmtId="4" fontId="4" fillId="5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8" fillId="6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/>
    </xf>
    <xf numFmtId="167" fontId="4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/>
    </xf>
    <xf numFmtId="0" fontId="4" fillId="9" borderId="6" xfId="0" applyFont="1" applyFill="1" applyBorder="1" applyAlignment="1">
      <alignment horizontal="center"/>
    </xf>
    <xf numFmtId="0" fontId="4" fillId="9" borderId="3" xfId="0" applyFont="1" applyFill="1" applyBorder="1" applyAlignment="1">
      <alignment horizontal="center"/>
    </xf>
    <xf numFmtId="166" fontId="4" fillId="0" borderId="3" xfId="0" applyNumberFormat="1" applyFont="1" applyBorder="1" applyAlignment="1">
      <alignment horizontal="center"/>
    </xf>
    <xf numFmtId="166" fontId="4" fillId="0" borderId="5" xfId="0" applyNumberFormat="1" applyFont="1" applyBorder="1" applyAlignment="1">
      <alignment horizontal="center"/>
    </xf>
    <xf numFmtId="0" fontId="1" fillId="2" borderId="6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9" fillId="3" borderId="6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right" vertical="center"/>
    </xf>
    <xf numFmtId="0" fontId="8" fillId="4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left" vertical="center" wrapText="1"/>
    </xf>
    <xf numFmtId="0" fontId="3" fillId="8" borderId="11" xfId="0" applyFont="1" applyFill="1" applyBorder="1" applyAlignment="1">
      <alignment horizontal="left" vertical="center" wrapText="1"/>
    </xf>
    <xf numFmtId="44" fontId="4" fillId="5" borderId="11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8" borderId="11" xfId="0" applyFont="1" applyFill="1" applyBorder="1" applyAlignment="1">
      <alignment horizontal="center" vertical="center" wrapText="1"/>
    </xf>
    <xf numFmtId="166" fontId="8" fillId="4" borderId="11" xfId="0" applyNumberFormat="1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left" vertical="center" wrapText="1"/>
    </xf>
    <xf numFmtId="0" fontId="3" fillId="8" borderId="5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right" vertical="center" wrapText="1"/>
    </xf>
    <xf numFmtId="0" fontId="4" fillId="5" borderId="5" xfId="0" applyFont="1" applyFill="1" applyBorder="1" applyAlignment="1">
      <alignment horizontal="right" vertical="center" wrapText="1"/>
    </xf>
    <xf numFmtId="0" fontId="4" fillId="5" borderId="3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center" vertical="center" wrapText="1"/>
    </xf>
    <xf numFmtId="4" fontId="3" fillId="8" borderId="6" xfId="0" applyNumberFormat="1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3" fillId="8" borderId="6" xfId="0" applyFont="1" applyFill="1" applyBorder="1" applyAlignment="1">
      <alignment vertical="center" wrapText="1"/>
    </xf>
    <xf numFmtId="0" fontId="3" fillId="8" borderId="5" xfId="0" applyFont="1" applyFill="1" applyBorder="1" applyAlignment="1">
      <alignment vertical="center" wrapText="1"/>
    </xf>
    <xf numFmtId="0" fontId="4" fillId="5" borderId="6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vertical="center" wrapText="1"/>
    </xf>
    <xf numFmtId="0" fontId="3" fillId="8" borderId="6" xfId="0" applyFont="1" applyFill="1" applyBorder="1" applyAlignment="1">
      <alignment horizontal="left" vertical="center"/>
    </xf>
    <xf numFmtId="0" fontId="3" fillId="8" borderId="5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right" vertical="center"/>
    </xf>
    <xf numFmtId="0" fontId="8" fillId="7" borderId="6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5" borderId="6" xfId="0" applyFont="1" applyFill="1" applyBorder="1" applyAlignment="1">
      <alignment horizontal="right" vertical="center"/>
    </xf>
    <xf numFmtId="0" fontId="4" fillId="5" borderId="3" xfId="0" applyFont="1" applyFill="1" applyBorder="1" applyAlignment="1">
      <alignment horizontal="right" vertical="center"/>
    </xf>
    <xf numFmtId="0" fontId="4" fillId="5" borderId="5" xfId="0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center"/>
    </xf>
    <xf numFmtId="0" fontId="4" fillId="0" borderId="6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5" borderId="6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</cellXfs>
  <cellStyles count="7">
    <cellStyle name="Normal" xfId="0" builtinId="0"/>
    <cellStyle name="Normal 2 2" xfId="1" xr:uid="{00000000-0005-0000-0000-000001000000}"/>
    <cellStyle name="Normal 2 2 2" xfId="6" xr:uid="{1E097E8A-34D9-48BB-A7D3-C42B4384A7A0}"/>
    <cellStyle name="Porcentagem" xfId="3" builtinId="5"/>
    <cellStyle name="Porcentagem 10 2" xfId="5" xr:uid="{19BD54D8-2E3C-4D39-BD49-13A42D1DDBBA}"/>
    <cellStyle name="Porcentagem 13" xfId="4" xr:uid="{35DEB145-C009-4447-8DC4-3266326AD0FE}"/>
    <cellStyle name="Separador de milhares 2_ORÇAMENTO matureia corrigido (DEZ 2009)" xfId="2" xr:uid="{00000000-0005-0000-0000-000002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</xdr:row>
          <xdr:rowOff>12700</xdr:rowOff>
        </xdr:from>
        <xdr:to>
          <xdr:col>7</xdr:col>
          <xdr:colOff>774700</xdr:colOff>
          <xdr:row>3</xdr:row>
          <xdr:rowOff>177800</xdr:rowOff>
        </xdr:to>
        <xdr:sp macro="" textlink="">
          <xdr:nvSpPr>
            <xdr:cNvPr id="24581" name="Check Box 5" hidden="1">
              <a:extLst>
                <a:ext uri="{63B3BB69-23CF-44E3-9099-C40C66FF867C}">
                  <a14:compatExt spid="_x0000_s24581"/>
                </a:ext>
                <a:ext uri="{FF2B5EF4-FFF2-40B4-BE49-F238E27FC236}">
                  <a16:creationId xmlns:a16="http://schemas.microsoft.com/office/drawing/2014/main" id="{00000000-0008-0000-0100-000005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793750</xdr:colOff>
          <xdr:row>3</xdr:row>
          <xdr:rowOff>6350</xdr:rowOff>
        </xdr:from>
        <xdr:to>
          <xdr:col>9</xdr:col>
          <xdr:colOff>12700</xdr:colOff>
          <xdr:row>3</xdr:row>
          <xdr:rowOff>171450</xdr:rowOff>
        </xdr:to>
        <xdr:sp macro="" textlink="">
          <xdr:nvSpPr>
            <xdr:cNvPr id="24582" name="Check Box 6" hidden="1">
              <a:extLst>
                <a:ext uri="{63B3BB69-23CF-44E3-9099-C40C66FF867C}">
                  <a14:compatExt spid="_x0000_s24582"/>
                </a:ext>
                <a:ext uri="{FF2B5EF4-FFF2-40B4-BE49-F238E27FC236}">
                  <a16:creationId xmlns:a16="http://schemas.microsoft.com/office/drawing/2014/main" id="{00000000-0008-0000-0100-000006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75</xdr:row>
      <xdr:rowOff>40219</xdr:rowOff>
    </xdr:from>
    <xdr:ext cx="2178032" cy="34804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aixaDeTexto 1">
              <a:extLst>
                <a:ext uri="{FF2B5EF4-FFF2-40B4-BE49-F238E27FC236}">
                  <a16:creationId xmlns:a16="http://schemas.microsoft.com/office/drawing/2014/main" id="{00000000-0008-0000-1B00-000002000000}"/>
                </a:ext>
              </a:extLst>
            </xdr:cNvPr>
            <xdr:cNvSpPr txBox="1"/>
          </xdr:nvSpPr>
          <xdr:spPr>
            <a:xfrm>
              <a:off x="5334000" y="26052994"/>
              <a:ext cx="2178032" cy="34804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nor/>
                      </m:rPr>
                      <a:rPr lang="pt-BR" sz="1100" b="0" i="0">
                        <a:latin typeface="Cambria Math" panose="02040503050406030204" pitchFamily="18" charset="0"/>
                      </a:rPr>
                      <m:t>Base</m:t>
                    </m:r>
                    <m:r>
                      <m:rPr>
                        <m:nor/>
                      </m:rPr>
                      <a:rPr lang="pt-BR" sz="1100" b="0" i="0">
                        <a:latin typeface="Cambria Math" panose="02040503050406030204" pitchFamily="18" charset="0"/>
                      </a:rPr>
                      <m:t> = </m:t>
                    </m:r>
                    <m:f>
                      <m:fPr>
                        <m:ctrlPr>
                          <a:rPr lang="pt-BR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Composi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çã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o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 +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II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m:rPr>
                            <m:sty m:val="p"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III</m:t>
                        </m:r>
                        <m:r>
                          <a:rPr lang="pt-BR" sz="1100" b="0" i="0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m:rPr>
                            <m:sty m:val="p"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IV</m:t>
                        </m:r>
                      </m:num>
                      <m:den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1 −(%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tributos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÷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100)</m:t>
                        </m:r>
                      </m:den>
                    </m:f>
                  </m:oMath>
                </m:oMathPara>
              </a14:m>
              <a:endParaRPr lang="pt-BR" sz="1100"/>
            </a:p>
          </xdr:txBody>
        </xdr:sp>
      </mc:Choice>
      <mc:Fallback xmlns="">
        <xdr:sp macro="" textlink="">
          <xdr:nvSpPr>
            <xdr:cNvPr id="2" name="CaixaDeTexto 1">
              <a:extLst>
                <a:ext uri="{FF2B5EF4-FFF2-40B4-BE49-F238E27FC236}">
                  <a16:creationId xmlns:a16="http://schemas.microsoft.com/office/drawing/2014/main" id="{50391DFA-7544-47CE-AAC1-1054C3C06246}"/>
                </a:ext>
              </a:extLst>
            </xdr:cNvPr>
            <xdr:cNvSpPr txBox="1"/>
          </xdr:nvSpPr>
          <xdr:spPr>
            <a:xfrm>
              <a:off x="5334000" y="26052994"/>
              <a:ext cx="2178032" cy="34804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pt-BR" sz="1100" b="0" i="0">
                  <a:latin typeface="Cambria Math" panose="02040503050406030204" pitchFamily="18" charset="0"/>
                </a:rPr>
                <a:t>"Base = "  ("Composição I + II" +III+IV)/"1 −(% tributos ÷100)" </a:t>
              </a:r>
              <a:endParaRPr lang="pt-BR" sz="1100"/>
            </a:p>
          </xdr:txBody>
        </xdr:sp>
      </mc:Fallback>
    </mc:AlternateContent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75</xdr:row>
      <xdr:rowOff>40219</xdr:rowOff>
    </xdr:from>
    <xdr:ext cx="2178032" cy="34804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aixaDeTexto 1">
              <a:extLst>
                <a:ext uri="{FF2B5EF4-FFF2-40B4-BE49-F238E27FC236}">
                  <a16:creationId xmlns:a16="http://schemas.microsoft.com/office/drawing/2014/main" id="{00000000-0008-0000-1C00-000002000000}"/>
                </a:ext>
              </a:extLst>
            </xdr:cNvPr>
            <xdr:cNvSpPr txBox="1"/>
          </xdr:nvSpPr>
          <xdr:spPr>
            <a:xfrm>
              <a:off x="5334000" y="26052994"/>
              <a:ext cx="2178032" cy="34804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nor/>
                      </m:rPr>
                      <a:rPr lang="pt-BR" sz="1100" b="0" i="0">
                        <a:latin typeface="Cambria Math" panose="02040503050406030204" pitchFamily="18" charset="0"/>
                      </a:rPr>
                      <m:t>Base</m:t>
                    </m:r>
                    <m:r>
                      <m:rPr>
                        <m:nor/>
                      </m:rPr>
                      <a:rPr lang="pt-BR" sz="1100" b="0" i="0">
                        <a:latin typeface="Cambria Math" panose="02040503050406030204" pitchFamily="18" charset="0"/>
                      </a:rPr>
                      <m:t> = </m:t>
                    </m:r>
                    <m:f>
                      <m:fPr>
                        <m:ctrlPr>
                          <a:rPr lang="pt-BR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Composi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çã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o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 +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II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m:rPr>
                            <m:sty m:val="p"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III</m:t>
                        </m:r>
                        <m:r>
                          <a:rPr lang="pt-BR" sz="1100" b="0" i="0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m:rPr>
                            <m:sty m:val="p"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IV</m:t>
                        </m:r>
                      </m:num>
                      <m:den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1 −(%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tributos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÷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100)</m:t>
                        </m:r>
                      </m:den>
                    </m:f>
                  </m:oMath>
                </m:oMathPara>
              </a14:m>
              <a:endParaRPr lang="pt-BR" sz="1100"/>
            </a:p>
          </xdr:txBody>
        </xdr:sp>
      </mc:Choice>
      <mc:Fallback xmlns="">
        <xdr:sp macro="" textlink="">
          <xdr:nvSpPr>
            <xdr:cNvPr id="2" name="CaixaDeTexto 1">
              <a:extLst>
                <a:ext uri="{FF2B5EF4-FFF2-40B4-BE49-F238E27FC236}">
                  <a16:creationId xmlns:a16="http://schemas.microsoft.com/office/drawing/2014/main" id="{ED7DA24B-206D-4160-82C8-C35EF6B763AC}"/>
                </a:ext>
              </a:extLst>
            </xdr:cNvPr>
            <xdr:cNvSpPr txBox="1"/>
          </xdr:nvSpPr>
          <xdr:spPr>
            <a:xfrm>
              <a:off x="5334000" y="26052994"/>
              <a:ext cx="2178032" cy="34804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pt-BR" sz="1100" b="0" i="0">
                  <a:latin typeface="Cambria Math" panose="02040503050406030204" pitchFamily="18" charset="0"/>
                </a:rPr>
                <a:t>"Base = "  ("Composição I + II" +III+IV)/"1 −(% tributos ÷100)" </a:t>
              </a:r>
              <a:endParaRPr lang="pt-BR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1F783-2D77-4229-BF51-1FAEDEABE740}">
  <sheetPr codeName="Planilha1">
    <pageSetUpPr fitToPage="1"/>
  </sheetPr>
  <dimension ref="A1:R38"/>
  <sheetViews>
    <sheetView view="pageBreakPreview" zoomScale="80" zoomScaleNormal="85" zoomScaleSheetLayoutView="80" workbookViewId="0">
      <selection activeCell="G27" sqref="G27"/>
    </sheetView>
  </sheetViews>
  <sheetFormatPr defaultRowHeight="14.5" x14ac:dyDescent="0.35"/>
  <cols>
    <col min="1" max="1" width="32.1796875" bestFit="1" customWidth="1"/>
    <col min="2" max="17" width="12.453125" customWidth="1"/>
    <col min="18" max="18" width="10" customWidth="1"/>
  </cols>
  <sheetData>
    <row r="1" spans="1:18" x14ac:dyDescent="0.35">
      <c r="A1" s="139" t="s">
        <v>295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</row>
    <row r="2" spans="1:18" ht="18" customHeight="1" x14ac:dyDescent="0.35">
      <c r="A2" s="136" t="s">
        <v>90</v>
      </c>
      <c r="B2" s="138" t="s">
        <v>101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7" t="s">
        <v>125</v>
      </c>
    </row>
    <row r="3" spans="1:18" ht="94.5" customHeight="1" x14ac:dyDescent="0.35">
      <c r="A3" s="136"/>
      <c r="B3" s="80" t="s">
        <v>129</v>
      </c>
      <c r="C3" s="80" t="s">
        <v>191</v>
      </c>
      <c r="D3" s="80" t="s">
        <v>130</v>
      </c>
      <c r="E3" s="80" t="s">
        <v>131</v>
      </c>
      <c r="F3" s="80" t="s">
        <v>133</v>
      </c>
      <c r="G3" s="80" t="s">
        <v>134</v>
      </c>
      <c r="H3" s="80" t="s">
        <v>132</v>
      </c>
      <c r="I3" s="80" t="s">
        <v>135</v>
      </c>
      <c r="J3" s="80" t="s">
        <v>136</v>
      </c>
      <c r="K3" s="80" t="s">
        <v>192</v>
      </c>
      <c r="L3" s="80" t="s">
        <v>137</v>
      </c>
      <c r="M3" s="80" t="s">
        <v>99</v>
      </c>
      <c r="N3" s="80" t="s">
        <v>138</v>
      </c>
      <c r="O3" s="80" t="s">
        <v>102</v>
      </c>
      <c r="P3" s="80" t="s">
        <v>193</v>
      </c>
      <c r="Q3" s="80" t="s">
        <v>139</v>
      </c>
      <c r="R3" s="137"/>
    </row>
    <row r="4" spans="1:18" ht="15" customHeight="1" x14ac:dyDescent="0.35">
      <c r="A4" s="36" t="s">
        <v>178</v>
      </c>
      <c r="B4" s="60" t="s">
        <v>60</v>
      </c>
      <c r="C4" s="33" t="s">
        <v>60</v>
      </c>
      <c r="D4" s="60">
        <v>1</v>
      </c>
      <c r="E4" s="60" t="s">
        <v>60</v>
      </c>
      <c r="F4" s="60" t="s">
        <v>60</v>
      </c>
      <c r="G4" s="60" t="s">
        <v>60</v>
      </c>
      <c r="H4" s="60" t="s">
        <v>60</v>
      </c>
      <c r="I4" s="60" t="s">
        <v>60</v>
      </c>
      <c r="J4" s="60" t="s">
        <v>60</v>
      </c>
      <c r="K4" s="60" t="s">
        <v>60</v>
      </c>
      <c r="L4" s="60" t="s">
        <v>60</v>
      </c>
      <c r="M4" s="60" t="s">
        <v>60</v>
      </c>
      <c r="N4" s="60" t="s">
        <v>60</v>
      </c>
      <c r="O4" s="60" t="s">
        <v>60</v>
      </c>
      <c r="P4" s="60" t="s">
        <v>60</v>
      </c>
      <c r="Q4" s="60" t="s">
        <v>60</v>
      </c>
      <c r="R4" s="38">
        <f t="shared" ref="R4:R17" si="0">ROUND(SUM(B4:Q4),2)</f>
        <v>1</v>
      </c>
    </row>
    <row r="5" spans="1:18" ht="15" customHeight="1" x14ac:dyDescent="0.35">
      <c r="A5" s="48" t="s">
        <v>194</v>
      </c>
      <c r="B5" s="61" t="s">
        <v>60</v>
      </c>
      <c r="C5" s="61" t="s">
        <v>60</v>
      </c>
      <c r="D5" s="61" t="s">
        <v>60</v>
      </c>
      <c r="E5" s="61" t="s">
        <v>60</v>
      </c>
      <c r="F5" s="61" t="s">
        <v>60</v>
      </c>
      <c r="G5" s="61" t="s">
        <v>60</v>
      </c>
      <c r="H5" s="61" t="s">
        <v>60</v>
      </c>
      <c r="I5" s="61">
        <v>2</v>
      </c>
      <c r="J5" s="61" t="s">
        <v>60</v>
      </c>
      <c r="K5" s="61" t="s">
        <v>60</v>
      </c>
      <c r="L5" s="61" t="s">
        <v>60</v>
      </c>
      <c r="M5" s="61" t="s">
        <v>60</v>
      </c>
      <c r="N5" s="61" t="s">
        <v>60</v>
      </c>
      <c r="O5" s="61" t="s">
        <v>60</v>
      </c>
      <c r="P5" s="61" t="s">
        <v>60</v>
      </c>
      <c r="Q5" s="61" t="s">
        <v>60</v>
      </c>
      <c r="R5" s="38">
        <f t="shared" si="0"/>
        <v>2</v>
      </c>
    </row>
    <row r="6" spans="1:18" ht="15" customHeight="1" x14ac:dyDescent="0.35">
      <c r="A6" s="37" t="s">
        <v>179</v>
      </c>
      <c r="B6" s="60" t="s">
        <v>60</v>
      </c>
      <c r="C6" s="60" t="s">
        <v>60</v>
      </c>
      <c r="D6" s="60" t="s">
        <v>60</v>
      </c>
      <c r="E6" s="60" t="s">
        <v>60</v>
      </c>
      <c r="F6" s="60" t="s">
        <v>60</v>
      </c>
      <c r="G6" s="60" t="s">
        <v>60</v>
      </c>
      <c r="H6" s="60" t="s">
        <v>60</v>
      </c>
      <c r="I6" s="60" t="s">
        <v>60</v>
      </c>
      <c r="J6" s="60" t="s">
        <v>60</v>
      </c>
      <c r="K6" s="60">
        <v>1</v>
      </c>
      <c r="L6" s="60" t="s">
        <v>60</v>
      </c>
      <c r="M6" s="60" t="s">
        <v>60</v>
      </c>
      <c r="N6" s="60" t="s">
        <v>60</v>
      </c>
      <c r="O6" s="60" t="s">
        <v>60</v>
      </c>
      <c r="P6" s="60" t="s">
        <v>60</v>
      </c>
      <c r="Q6" s="60" t="s">
        <v>60</v>
      </c>
      <c r="R6" s="38">
        <f t="shared" si="0"/>
        <v>1</v>
      </c>
    </row>
    <row r="7" spans="1:18" ht="15" customHeight="1" x14ac:dyDescent="0.35">
      <c r="A7" s="46" t="s">
        <v>180</v>
      </c>
      <c r="B7" s="61" t="s">
        <v>60</v>
      </c>
      <c r="C7" s="85">
        <v>1</v>
      </c>
      <c r="D7" s="61" t="s">
        <v>60</v>
      </c>
      <c r="E7" s="61" t="s">
        <v>60</v>
      </c>
      <c r="F7" s="61" t="s">
        <v>60</v>
      </c>
      <c r="G7" s="61">
        <v>6</v>
      </c>
      <c r="H7" s="61" t="s">
        <v>60</v>
      </c>
      <c r="I7" s="61" t="s">
        <v>60</v>
      </c>
      <c r="J7" s="61">
        <v>2</v>
      </c>
      <c r="K7" s="61">
        <v>2</v>
      </c>
      <c r="L7" s="61" t="s">
        <v>60</v>
      </c>
      <c r="M7" s="61">
        <v>1</v>
      </c>
      <c r="N7" s="61">
        <v>1</v>
      </c>
      <c r="O7" s="61">
        <v>2</v>
      </c>
      <c r="P7" s="61">
        <v>1</v>
      </c>
      <c r="Q7" s="61" t="s">
        <v>60</v>
      </c>
      <c r="R7" s="38">
        <f t="shared" si="0"/>
        <v>16</v>
      </c>
    </row>
    <row r="8" spans="1:18" ht="15" customHeight="1" x14ac:dyDescent="0.35">
      <c r="A8" s="36" t="s">
        <v>181</v>
      </c>
      <c r="B8" s="60">
        <v>3</v>
      </c>
      <c r="C8" s="60" t="s">
        <v>60</v>
      </c>
      <c r="D8" s="60">
        <v>2</v>
      </c>
      <c r="E8" s="60" t="s">
        <v>60</v>
      </c>
      <c r="F8" s="60">
        <v>1</v>
      </c>
      <c r="G8" s="60">
        <v>1</v>
      </c>
      <c r="H8" s="60">
        <v>1</v>
      </c>
      <c r="I8" s="60" t="s">
        <v>60</v>
      </c>
      <c r="J8" s="60">
        <v>1</v>
      </c>
      <c r="K8" s="60" t="s">
        <v>60</v>
      </c>
      <c r="L8" s="60" t="s">
        <v>60</v>
      </c>
      <c r="M8" s="60">
        <v>1</v>
      </c>
      <c r="N8" s="60">
        <v>1</v>
      </c>
      <c r="O8" s="60" t="s">
        <v>60</v>
      </c>
      <c r="P8" s="60" t="s">
        <v>60</v>
      </c>
      <c r="Q8" s="60" t="s">
        <v>60</v>
      </c>
      <c r="R8" s="38">
        <f t="shared" si="0"/>
        <v>11</v>
      </c>
    </row>
    <row r="9" spans="1:18" ht="15" customHeight="1" x14ac:dyDescent="0.35">
      <c r="A9" s="48" t="s">
        <v>182</v>
      </c>
      <c r="B9" s="61" t="s">
        <v>60</v>
      </c>
      <c r="C9" s="61" t="s">
        <v>60</v>
      </c>
      <c r="D9" s="61" t="s">
        <v>60</v>
      </c>
      <c r="E9" s="61">
        <v>1</v>
      </c>
      <c r="F9" s="61" t="s">
        <v>60</v>
      </c>
      <c r="G9" s="61" t="s">
        <v>60</v>
      </c>
      <c r="H9" s="61" t="s">
        <v>60</v>
      </c>
      <c r="I9" s="61" t="s">
        <v>60</v>
      </c>
      <c r="J9" s="61" t="s">
        <v>60</v>
      </c>
      <c r="K9" s="61" t="s">
        <v>60</v>
      </c>
      <c r="L9" s="61" t="s">
        <v>60</v>
      </c>
      <c r="M9" s="61" t="s">
        <v>60</v>
      </c>
      <c r="N9" s="61" t="s">
        <v>60</v>
      </c>
      <c r="O9" s="61" t="s">
        <v>60</v>
      </c>
      <c r="P9" s="61" t="s">
        <v>60</v>
      </c>
      <c r="Q9" s="61" t="s">
        <v>60</v>
      </c>
      <c r="R9" s="38">
        <f t="shared" si="0"/>
        <v>1</v>
      </c>
    </row>
    <row r="10" spans="1:18" ht="15" customHeight="1" x14ac:dyDescent="0.35">
      <c r="A10" s="37" t="s">
        <v>183</v>
      </c>
      <c r="B10" s="60" t="s">
        <v>60</v>
      </c>
      <c r="C10" s="60" t="s">
        <v>60</v>
      </c>
      <c r="D10" s="60" t="s">
        <v>60</v>
      </c>
      <c r="E10" s="60" t="s">
        <v>60</v>
      </c>
      <c r="F10" s="60" t="s">
        <v>60</v>
      </c>
      <c r="G10" s="60" t="s">
        <v>60</v>
      </c>
      <c r="H10" s="60" t="s">
        <v>60</v>
      </c>
      <c r="I10" s="60" t="s">
        <v>60</v>
      </c>
      <c r="J10" s="60" t="s">
        <v>60</v>
      </c>
      <c r="K10" s="60" t="s">
        <v>60</v>
      </c>
      <c r="L10" s="60">
        <v>1</v>
      </c>
      <c r="M10" s="60" t="s">
        <v>60</v>
      </c>
      <c r="N10" s="60" t="s">
        <v>60</v>
      </c>
      <c r="O10" s="60" t="s">
        <v>60</v>
      </c>
      <c r="P10" s="60" t="s">
        <v>60</v>
      </c>
      <c r="Q10" s="60" t="s">
        <v>60</v>
      </c>
      <c r="R10" s="38">
        <f t="shared" si="0"/>
        <v>1</v>
      </c>
    </row>
    <row r="11" spans="1:18" ht="15" customHeight="1" x14ac:dyDescent="0.35">
      <c r="A11" s="48" t="s">
        <v>184</v>
      </c>
      <c r="B11" s="61" t="s">
        <v>60</v>
      </c>
      <c r="C11" s="61" t="s">
        <v>60</v>
      </c>
      <c r="D11" s="61" t="s">
        <v>60</v>
      </c>
      <c r="E11" s="61" t="s">
        <v>60</v>
      </c>
      <c r="F11" s="61" t="s">
        <v>60</v>
      </c>
      <c r="G11" s="61" t="s">
        <v>60</v>
      </c>
      <c r="H11" s="61">
        <v>1</v>
      </c>
      <c r="I11" s="61" t="s">
        <v>60</v>
      </c>
      <c r="J11" s="61" t="s">
        <v>60</v>
      </c>
      <c r="K11" s="61" t="s">
        <v>60</v>
      </c>
      <c r="L11" s="61" t="s">
        <v>60</v>
      </c>
      <c r="M11" s="61" t="s">
        <v>60</v>
      </c>
      <c r="N11" s="61" t="s">
        <v>60</v>
      </c>
      <c r="O11" s="61" t="s">
        <v>60</v>
      </c>
      <c r="P11" s="61" t="s">
        <v>60</v>
      </c>
      <c r="Q11" s="61" t="s">
        <v>60</v>
      </c>
      <c r="R11" s="38">
        <f t="shared" si="0"/>
        <v>1</v>
      </c>
    </row>
    <row r="12" spans="1:18" ht="15" customHeight="1" x14ac:dyDescent="0.35">
      <c r="A12" s="36" t="s">
        <v>185</v>
      </c>
      <c r="B12" s="73" t="s">
        <v>60</v>
      </c>
      <c r="C12" s="73" t="s">
        <v>60</v>
      </c>
      <c r="D12" s="60">
        <v>1</v>
      </c>
      <c r="E12" s="73" t="s">
        <v>60</v>
      </c>
      <c r="F12" s="73" t="s">
        <v>60</v>
      </c>
      <c r="G12" s="73" t="s">
        <v>60</v>
      </c>
      <c r="H12" s="73" t="s">
        <v>60</v>
      </c>
      <c r="I12" s="73" t="s">
        <v>60</v>
      </c>
      <c r="J12" s="73" t="s">
        <v>60</v>
      </c>
      <c r="K12" s="73" t="s">
        <v>60</v>
      </c>
      <c r="L12" s="73" t="s">
        <v>60</v>
      </c>
      <c r="M12" s="73" t="s">
        <v>60</v>
      </c>
      <c r="N12" s="73" t="s">
        <v>60</v>
      </c>
      <c r="O12" s="73" t="s">
        <v>60</v>
      </c>
      <c r="P12" s="73" t="s">
        <v>60</v>
      </c>
      <c r="Q12" s="73" t="s">
        <v>60</v>
      </c>
      <c r="R12" s="38">
        <f t="shared" si="0"/>
        <v>1</v>
      </c>
    </row>
    <row r="13" spans="1:18" ht="15" customHeight="1" x14ac:dyDescent="0.35">
      <c r="A13" s="46" t="s">
        <v>186</v>
      </c>
      <c r="B13" s="61" t="s">
        <v>60</v>
      </c>
      <c r="C13" s="61" t="s">
        <v>60</v>
      </c>
      <c r="D13" s="61" t="s">
        <v>60</v>
      </c>
      <c r="E13" s="61" t="s">
        <v>60</v>
      </c>
      <c r="F13" s="61" t="s">
        <v>60</v>
      </c>
      <c r="G13" s="61" t="s">
        <v>60</v>
      </c>
      <c r="H13" s="61" t="s">
        <v>60</v>
      </c>
      <c r="I13" s="61" t="s">
        <v>60</v>
      </c>
      <c r="J13" s="61" t="s">
        <v>60</v>
      </c>
      <c r="K13" s="61" t="s">
        <v>60</v>
      </c>
      <c r="L13" s="61">
        <v>1</v>
      </c>
      <c r="M13" s="61" t="s">
        <v>60</v>
      </c>
      <c r="N13" s="61" t="s">
        <v>60</v>
      </c>
      <c r="O13" s="61" t="s">
        <v>60</v>
      </c>
      <c r="P13" s="61" t="s">
        <v>60</v>
      </c>
      <c r="Q13" s="61" t="s">
        <v>60</v>
      </c>
      <c r="R13" s="38">
        <f t="shared" si="0"/>
        <v>1</v>
      </c>
    </row>
    <row r="14" spans="1:18" ht="15" customHeight="1" x14ac:dyDescent="0.35">
      <c r="A14" s="37" t="s">
        <v>187</v>
      </c>
      <c r="B14" s="60" t="s">
        <v>60</v>
      </c>
      <c r="C14" s="60" t="s">
        <v>60</v>
      </c>
      <c r="D14" s="60" t="s">
        <v>60</v>
      </c>
      <c r="E14" s="60" t="s">
        <v>60</v>
      </c>
      <c r="F14" s="60" t="s">
        <v>60</v>
      </c>
      <c r="G14" s="60" t="s">
        <v>60</v>
      </c>
      <c r="H14" s="60" t="s">
        <v>60</v>
      </c>
      <c r="I14" s="60" t="s">
        <v>60</v>
      </c>
      <c r="J14" s="60">
        <v>2</v>
      </c>
      <c r="K14" s="60" t="s">
        <v>60</v>
      </c>
      <c r="L14" s="60" t="s">
        <v>60</v>
      </c>
      <c r="M14" s="60" t="s">
        <v>60</v>
      </c>
      <c r="N14" s="60" t="s">
        <v>60</v>
      </c>
      <c r="O14" s="60" t="s">
        <v>60</v>
      </c>
      <c r="P14" s="60" t="s">
        <v>60</v>
      </c>
      <c r="Q14" s="60" t="s">
        <v>60</v>
      </c>
      <c r="R14" s="38">
        <f t="shared" si="0"/>
        <v>2</v>
      </c>
    </row>
    <row r="15" spans="1:18" ht="15" customHeight="1" x14ac:dyDescent="0.35">
      <c r="A15" s="48" t="s">
        <v>188</v>
      </c>
      <c r="B15" s="47" t="s">
        <v>60</v>
      </c>
      <c r="C15" s="47" t="s">
        <v>60</v>
      </c>
      <c r="D15" s="61">
        <v>1</v>
      </c>
      <c r="E15" s="47" t="s">
        <v>60</v>
      </c>
      <c r="F15" s="47" t="s">
        <v>60</v>
      </c>
      <c r="G15" s="47" t="s">
        <v>60</v>
      </c>
      <c r="H15" s="47" t="s">
        <v>60</v>
      </c>
      <c r="I15" s="47" t="s">
        <v>60</v>
      </c>
      <c r="J15" s="47" t="s">
        <v>60</v>
      </c>
      <c r="K15" s="47" t="s">
        <v>60</v>
      </c>
      <c r="L15" s="47" t="s">
        <v>60</v>
      </c>
      <c r="M15" s="47" t="s">
        <v>60</v>
      </c>
      <c r="N15" s="47" t="s">
        <v>60</v>
      </c>
      <c r="O15" s="47" t="s">
        <v>60</v>
      </c>
      <c r="P15" s="47" t="s">
        <v>60</v>
      </c>
      <c r="Q15" s="47" t="s">
        <v>60</v>
      </c>
      <c r="R15" s="38">
        <f t="shared" si="0"/>
        <v>1</v>
      </c>
    </row>
    <row r="16" spans="1:18" ht="15" customHeight="1" x14ac:dyDescent="0.35">
      <c r="A16" s="37" t="s">
        <v>189</v>
      </c>
      <c r="B16" s="60" t="s">
        <v>60</v>
      </c>
      <c r="C16" s="60" t="s">
        <v>60</v>
      </c>
      <c r="D16" s="60" t="s">
        <v>60</v>
      </c>
      <c r="E16" s="60" t="s">
        <v>60</v>
      </c>
      <c r="F16" s="60" t="s">
        <v>60</v>
      </c>
      <c r="G16" s="60" t="s">
        <v>60</v>
      </c>
      <c r="H16" s="60" t="s">
        <v>60</v>
      </c>
      <c r="I16" s="60" t="s">
        <v>60</v>
      </c>
      <c r="J16" s="60" t="s">
        <v>60</v>
      </c>
      <c r="K16" s="60" t="s">
        <v>60</v>
      </c>
      <c r="L16" s="60" t="s">
        <v>60</v>
      </c>
      <c r="M16" s="60" t="s">
        <v>60</v>
      </c>
      <c r="N16" s="60" t="s">
        <v>60</v>
      </c>
      <c r="O16" s="60" t="s">
        <v>60</v>
      </c>
      <c r="P16" s="60" t="s">
        <v>60</v>
      </c>
      <c r="Q16" s="60">
        <v>1</v>
      </c>
      <c r="R16" s="38">
        <f t="shared" si="0"/>
        <v>1</v>
      </c>
    </row>
    <row r="17" spans="1:18" ht="15" customHeight="1" x14ac:dyDescent="0.35">
      <c r="A17" s="48" t="s">
        <v>190</v>
      </c>
      <c r="B17" s="61" t="s">
        <v>60</v>
      </c>
      <c r="C17" s="61" t="s">
        <v>60</v>
      </c>
      <c r="D17" s="61" t="s">
        <v>60</v>
      </c>
      <c r="E17" s="61" t="s">
        <v>60</v>
      </c>
      <c r="F17" s="61" t="s">
        <v>60</v>
      </c>
      <c r="G17" s="61" t="s">
        <v>60</v>
      </c>
      <c r="H17" s="61" t="s">
        <v>60</v>
      </c>
      <c r="I17" s="61" t="s">
        <v>60</v>
      </c>
      <c r="J17" s="61" t="s">
        <v>60</v>
      </c>
      <c r="K17" s="61" t="s">
        <v>60</v>
      </c>
      <c r="L17" s="61" t="s">
        <v>60</v>
      </c>
      <c r="M17" s="61" t="s">
        <v>60</v>
      </c>
      <c r="N17" s="61" t="s">
        <v>60</v>
      </c>
      <c r="O17" s="61" t="s">
        <v>60</v>
      </c>
      <c r="P17" s="61" t="s">
        <v>60</v>
      </c>
      <c r="Q17" s="61">
        <v>1</v>
      </c>
      <c r="R17" s="38">
        <f t="shared" si="0"/>
        <v>1</v>
      </c>
    </row>
    <row r="18" spans="1:18" x14ac:dyDescent="0.35">
      <c r="A18" s="58" t="s">
        <v>126</v>
      </c>
      <c r="B18" s="86">
        <f t="shared" ref="B18:Q18" si="1">ROUND(SUM(B4:B15),2)</f>
        <v>3</v>
      </c>
      <c r="C18" s="86">
        <f t="shared" si="1"/>
        <v>1</v>
      </c>
      <c r="D18" s="86">
        <f t="shared" si="1"/>
        <v>5</v>
      </c>
      <c r="E18" s="86">
        <f t="shared" si="1"/>
        <v>1</v>
      </c>
      <c r="F18" s="86">
        <f t="shared" si="1"/>
        <v>1</v>
      </c>
      <c r="G18" s="86">
        <f t="shared" si="1"/>
        <v>7</v>
      </c>
      <c r="H18" s="86">
        <f t="shared" si="1"/>
        <v>2</v>
      </c>
      <c r="I18" s="86">
        <f t="shared" si="1"/>
        <v>2</v>
      </c>
      <c r="J18" s="86">
        <f t="shared" si="1"/>
        <v>5</v>
      </c>
      <c r="K18" s="86">
        <f t="shared" si="1"/>
        <v>3</v>
      </c>
      <c r="L18" s="86">
        <f t="shared" si="1"/>
        <v>2</v>
      </c>
      <c r="M18" s="86">
        <f t="shared" si="1"/>
        <v>2</v>
      </c>
      <c r="N18" s="86">
        <f t="shared" si="1"/>
        <v>2</v>
      </c>
      <c r="O18" s="86">
        <f t="shared" si="1"/>
        <v>2</v>
      </c>
      <c r="P18" s="86">
        <f t="shared" si="1"/>
        <v>1</v>
      </c>
      <c r="Q18" s="86">
        <f t="shared" si="1"/>
        <v>0</v>
      </c>
      <c r="R18" s="86">
        <f>ROUND(SUM(R4:R17),2)</f>
        <v>41</v>
      </c>
    </row>
    <row r="21" spans="1:18" x14ac:dyDescent="0.35">
      <c r="A21" s="139" t="s">
        <v>196</v>
      </c>
      <c r="B21" s="139"/>
      <c r="C21" s="139"/>
      <c r="D21" s="139"/>
      <c r="E21" s="139"/>
    </row>
    <row r="22" spans="1:18" ht="14.5" customHeight="1" x14ac:dyDescent="0.35">
      <c r="A22" s="136" t="s">
        <v>90</v>
      </c>
      <c r="B22" s="138" t="s">
        <v>101</v>
      </c>
      <c r="C22" s="138"/>
      <c r="D22" s="138"/>
      <c r="E22" s="137" t="s">
        <v>125</v>
      </c>
    </row>
    <row r="23" spans="1:18" ht="25" x14ac:dyDescent="0.35">
      <c r="A23" s="136"/>
      <c r="B23" s="80" t="s">
        <v>197</v>
      </c>
      <c r="C23" s="80" t="s">
        <v>198</v>
      </c>
      <c r="D23" s="80" t="s">
        <v>199</v>
      </c>
      <c r="E23" s="137"/>
    </row>
    <row r="24" spans="1:18" x14ac:dyDescent="0.35">
      <c r="A24" s="36" t="s">
        <v>178</v>
      </c>
      <c r="B24" s="60" t="s">
        <v>60</v>
      </c>
      <c r="C24" s="33" t="s">
        <v>60</v>
      </c>
      <c r="D24" s="60">
        <v>1</v>
      </c>
      <c r="E24" s="38">
        <f t="shared" ref="E24:E37" si="2">ROUND(SUM(B24:D24),2)</f>
        <v>1</v>
      </c>
    </row>
    <row r="25" spans="1:18" x14ac:dyDescent="0.35">
      <c r="A25" s="48" t="s">
        <v>194</v>
      </c>
      <c r="B25" s="61" t="s">
        <v>60</v>
      </c>
      <c r="C25" s="61" t="s">
        <v>60</v>
      </c>
      <c r="D25" s="61">
        <v>2</v>
      </c>
      <c r="E25" s="38">
        <f t="shared" si="2"/>
        <v>2</v>
      </c>
    </row>
    <row r="26" spans="1:18" x14ac:dyDescent="0.35">
      <c r="A26" s="37" t="s">
        <v>179</v>
      </c>
      <c r="B26" s="60" t="s">
        <v>60</v>
      </c>
      <c r="C26" s="60" t="s">
        <v>60</v>
      </c>
      <c r="D26" s="60">
        <v>1</v>
      </c>
      <c r="E26" s="38">
        <f t="shared" si="2"/>
        <v>1</v>
      </c>
    </row>
    <row r="27" spans="1:18" x14ac:dyDescent="0.35">
      <c r="A27" s="46" t="s">
        <v>180</v>
      </c>
      <c r="B27" s="61" t="s">
        <v>60</v>
      </c>
      <c r="C27" s="85">
        <v>16</v>
      </c>
      <c r="D27" s="61" t="s">
        <v>60</v>
      </c>
      <c r="E27" s="38">
        <f t="shared" si="2"/>
        <v>16</v>
      </c>
    </row>
    <row r="28" spans="1:18" x14ac:dyDescent="0.35">
      <c r="A28" s="36" t="s">
        <v>181</v>
      </c>
      <c r="B28" s="60"/>
      <c r="C28" s="60" t="s">
        <v>60</v>
      </c>
      <c r="D28" s="60">
        <v>11</v>
      </c>
      <c r="E28" s="38">
        <f t="shared" si="2"/>
        <v>11</v>
      </c>
    </row>
    <row r="29" spans="1:18" x14ac:dyDescent="0.35">
      <c r="A29" s="48" t="s">
        <v>182</v>
      </c>
      <c r="B29" s="61" t="s">
        <v>60</v>
      </c>
      <c r="C29" s="61" t="s">
        <v>60</v>
      </c>
      <c r="D29" s="61">
        <v>1</v>
      </c>
      <c r="E29" s="38">
        <f t="shared" si="2"/>
        <v>1</v>
      </c>
    </row>
    <row r="30" spans="1:18" x14ac:dyDescent="0.35">
      <c r="A30" s="37" t="s">
        <v>183</v>
      </c>
      <c r="B30" s="60" t="s">
        <v>60</v>
      </c>
      <c r="C30" s="60" t="s">
        <v>60</v>
      </c>
      <c r="D30" s="60">
        <v>1</v>
      </c>
      <c r="E30" s="38">
        <f t="shared" si="2"/>
        <v>1</v>
      </c>
    </row>
    <row r="31" spans="1:18" x14ac:dyDescent="0.35">
      <c r="A31" s="48" t="s">
        <v>184</v>
      </c>
      <c r="B31" s="61" t="s">
        <v>60</v>
      </c>
      <c r="C31" s="61">
        <v>1</v>
      </c>
      <c r="D31" s="61" t="s">
        <v>60</v>
      </c>
      <c r="E31" s="38">
        <f t="shared" si="2"/>
        <v>1</v>
      </c>
    </row>
    <row r="32" spans="1:18" x14ac:dyDescent="0.35">
      <c r="A32" s="36" t="s">
        <v>185</v>
      </c>
      <c r="B32" s="73">
        <v>1</v>
      </c>
      <c r="C32" s="73" t="s">
        <v>60</v>
      </c>
      <c r="D32" s="60"/>
      <c r="E32" s="38">
        <f t="shared" si="2"/>
        <v>1</v>
      </c>
    </row>
    <row r="33" spans="1:5" x14ac:dyDescent="0.35">
      <c r="A33" s="46" t="s">
        <v>186</v>
      </c>
      <c r="B33" s="61" t="s">
        <v>60</v>
      </c>
      <c r="C33" s="61" t="s">
        <v>60</v>
      </c>
      <c r="D33" s="61">
        <v>1</v>
      </c>
      <c r="E33" s="38">
        <f t="shared" si="2"/>
        <v>1</v>
      </c>
    </row>
    <row r="34" spans="1:5" x14ac:dyDescent="0.35">
      <c r="A34" s="37" t="s">
        <v>187</v>
      </c>
      <c r="B34" s="60" t="s">
        <v>60</v>
      </c>
      <c r="C34" s="60">
        <v>2</v>
      </c>
      <c r="D34" s="60" t="s">
        <v>60</v>
      </c>
      <c r="E34" s="38">
        <f t="shared" si="2"/>
        <v>2</v>
      </c>
    </row>
    <row r="35" spans="1:5" x14ac:dyDescent="0.35">
      <c r="A35" s="48" t="s">
        <v>188</v>
      </c>
      <c r="B35" s="85">
        <v>1</v>
      </c>
      <c r="C35" s="85" t="s">
        <v>60</v>
      </c>
      <c r="D35" s="61" t="s">
        <v>60</v>
      </c>
      <c r="E35" s="38">
        <f t="shared" si="2"/>
        <v>1</v>
      </c>
    </row>
    <row r="36" spans="1:5" x14ac:dyDescent="0.35">
      <c r="A36" s="37" t="s">
        <v>189</v>
      </c>
      <c r="B36" s="60" t="s">
        <v>60</v>
      </c>
      <c r="C36" s="60">
        <v>1</v>
      </c>
      <c r="D36" s="60" t="s">
        <v>60</v>
      </c>
      <c r="E36" s="38">
        <f t="shared" si="2"/>
        <v>1</v>
      </c>
    </row>
    <row r="37" spans="1:5" x14ac:dyDescent="0.35">
      <c r="A37" s="48" t="s">
        <v>190</v>
      </c>
      <c r="B37" s="61" t="s">
        <v>60</v>
      </c>
      <c r="C37" s="61" t="s">
        <v>60</v>
      </c>
      <c r="D37" s="61">
        <v>1</v>
      </c>
      <c r="E37" s="38">
        <f t="shared" si="2"/>
        <v>1</v>
      </c>
    </row>
    <row r="38" spans="1:5" x14ac:dyDescent="0.35">
      <c r="A38" s="58" t="s">
        <v>195</v>
      </c>
      <c r="B38" s="86">
        <f t="shared" ref="B38:D38" si="3">ROUND(SUM(B24:B35),2)</f>
        <v>2</v>
      </c>
      <c r="C38" s="86">
        <f t="shared" si="3"/>
        <v>19</v>
      </c>
      <c r="D38" s="86">
        <f t="shared" si="3"/>
        <v>18</v>
      </c>
      <c r="E38" s="86">
        <f>ROUND(SUM(E24:E37),2)</f>
        <v>41</v>
      </c>
    </row>
  </sheetData>
  <sheetProtection algorithmName="SHA-512" hashValue="gvOOgZC4YqQxJ07r+0/3cDkNF3onjZR6yN8kRXT/E4y1giKP2e87Dl/NykWd2NyIsRmoeTaC0DVQRCZy8MzCrg==" saltValue="hQcI5yiz+ENd44r9Xb6q8Q==" spinCount="100000" sheet="1" objects="1" scenarios="1"/>
  <mergeCells count="8">
    <mergeCell ref="A22:A23"/>
    <mergeCell ref="E22:E23"/>
    <mergeCell ref="B22:D22"/>
    <mergeCell ref="A21:E21"/>
    <mergeCell ref="A1:R1"/>
    <mergeCell ref="A2:A3"/>
    <mergeCell ref="B2:Q2"/>
    <mergeCell ref="R2:R3"/>
  </mergeCells>
  <pageMargins left="0.23622047244094491" right="0.23622047244094491" top="1.3385826771653544" bottom="0.74803149606299213" header="0.9055118110236221" footer="0.31496062992125984"/>
  <pageSetup scale="55" fitToHeight="0" orientation="landscape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FB5DB-1AEA-49E3-8B18-F4BE96577704}">
  <sheetPr>
    <pageSetUpPr fitToPage="1"/>
  </sheetPr>
  <dimension ref="A1:I35"/>
  <sheetViews>
    <sheetView view="pageBreakPreview" zoomScaleNormal="100" zoomScaleSheetLayoutView="100" workbookViewId="0">
      <selection activeCell="B7" sqref="B7:E7"/>
    </sheetView>
  </sheetViews>
  <sheetFormatPr defaultRowHeight="14.5" x14ac:dyDescent="0.35"/>
  <cols>
    <col min="1" max="1" width="6.36328125" customWidth="1"/>
    <col min="2" max="2" width="10.6328125" customWidth="1"/>
    <col min="3" max="3" width="11.453125" customWidth="1"/>
    <col min="4" max="4" width="11.54296875" customWidth="1"/>
    <col min="6" max="6" width="11.08984375" customWidth="1"/>
    <col min="7" max="7" width="11" customWidth="1"/>
    <col min="8" max="8" width="13.7265625" customWidth="1"/>
    <col min="9" max="9" width="13.1796875" customWidth="1"/>
  </cols>
  <sheetData>
    <row r="1" spans="1:9" x14ac:dyDescent="0.35">
      <c r="A1" s="140" t="s">
        <v>339</v>
      </c>
      <c r="B1" s="141"/>
      <c r="C1" s="142" t="s">
        <v>340</v>
      </c>
      <c r="D1" s="142"/>
      <c r="E1" s="142"/>
      <c r="F1" s="142"/>
      <c r="G1" s="142"/>
      <c r="H1" s="142"/>
      <c r="I1" s="143"/>
    </row>
    <row r="2" spans="1:9" x14ac:dyDescent="0.35">
      <c r="A2" s="144" t="s">
        <v>338</v>
      </c>
      <c r="B2" s="145"/>
      <c r="C2" s="146"/>
      <c r="D2" s="146"/>
      <c r="E2" s="146"/>
      <c r="F2" s="146"/>
      <c r="G2" s="146"/>
      <c r="H2" s="146"/>
      <c r="I2" s="147"/>
    </row>
    <row r="3" spans="1:9" x14ac:dyDescent="0.35">
      <c r="A3" s="140" t="s">
        <v>337</v>
      </c>
      <c r="B3" s="141"/>
      <c r="C3" s="146"/>
      <c r="D3" s="146"/>
      <c r="E3" s="146"/>
      <c r="F3" s="146"/>
      <c r="G3" s="146"/>
      <c r="H3" s="146"/>
      <c r="I3" s="147"/>
    </row>
    <row r="4" spans="1:9" x14ac:dyDescent="0.35">
      <c r="A4" s="129" t="s">
        <v>336</v>
      </c>
      <c r="B4" s="151"/>
      <c r="C4" s="151"/>
      <c r="D4" s="151"/>
      <c r="E4" s="151"/>
      <c r="F4" s="148" t="s">
        <v>335</v>
      </c>
      <c r="G4" s="148"/>
      <c r="H4" s="149"/>
      <c r="I4" s="150"/>
    </row>
    <row r="5" spans="1:9" x14ac:dyDescent="0.35">
      <c r="A5" s="140" t="s">
        <v>334</v>
      </c>
      <c r="B5" s="141"/>
      <c r="C5" s="146"/>
      <c r="D5" s="146"/>
      <c r="E5" s="146"/>
      <c r="F5" s="146"/>
      <c r="G5" s="146"/>
      <c r="H5" s="146"/>
      <c r="I5" s="147"/>
    </row>
    <row r="6" spans="1:9" x14ac:dyDescent="0.35">
      <c r="A6" s="129" t="s">
        <v>333</v>
      </c>
      <c r="B6" s="151"/>
      <c r="C6" s="151"/>
      <c r="D6" s="151"/>
      <c r="E6" s="151"/>
      <c r="F6" s="130" t="s">
        <v>332</v>
      </c>
      <c r="G6" s="146"/>
      <c r="H6" s="146"/>
      <c r="I6" s="147"/>
    </row>
    <row r="7" spans="1:9" x14ac:dyDescent="0.35">
      <c r="A7" s="131" t="s">
        <v>331</v>
      </c>
      <c r="B7" s="151"/>
      <c r="C7" s="151"/>
      <c r="D7" s="151"/>
      <c r="E7" s="151"/>
      <c r="F7" s="130" t="s">
        <v>330</v>
      </c>
      <c r="G7" s="146"/>
      <c r="H7" s="146"/>
      <c r="I7" s="147"/>
    </row>
    <row r="8" spans="1:9" x14ac:dyDescent="0.35">
      <c r="A8" s="140" t="s">
        <v>329</v>
      </c>
      <c r="B8" s="141"/>
      <c r="C8" s="146"/>
      <c r="D8" s="146"/>
      <c r="E8" s="146"/>
      <c r="F8" s="130" t="s">
        <v>328</v>
      </c>
      <c r="G8" s="146"/>
      <c r="H8" s="146"/>
      <c r="I8" s="147"/>
    </row>
    <row r="9" spans="1:9" x14ac:dyDescent="0.35">
      <c r="A9" s="129" t="s">
        <v>327</v>
      </c>
      <c r="B9" s="151"/>
      <c r="C9" s="151"/>
      <c r="D9" s="151"/>
      <c r="E9" s="127" t="s">
        <v>326</v>
      </c>
      <c r="F9" s="127"/>
      <c r="G9" s="146"/>
      <c r="H9" s="146"/>
      <c r="I9" s="147"/>
    </row>
    <row r="10" spans="1:9" x14ac:dyDescent="0.35">
      <c r="A10" s="140" t="s">
        <v>325</v>
      </c>
      <c r="B10" s="141"/>
      <c r="C10" s="141"/>
      <c r="D10" s="128"/>
      <c r="E10" s="148" t="s">
        <v>324</v>
      </c>
      <c r="F10" s="148"/>
      <c r="G10" s="128"/>
      <c r="H10" s="127" t="s">
        <v>323</v>
      </c>
      <c r="I10" s="126"/>
    </row>
    <row r="11" spans="1:9" ht="10" customHeight="1" x14ac:dyDescent="0.35">
      <c r="A11" s="21"/>
      <c r="B11" s="21"/>
      <c r="C11" s="21"/>
      <c r="D11" s="21"/>
      <c r="E11" s="21"/>
      <c r="F11" s="21"/>
      <c r="G11" s="21"/>
      <c r="H11" s="21"/>
      <c r="I11" s="21"/>
    </row>
    <row r="12" spans="1:9" x14ac:dyDescent="0.35">
      <c r="A12" s="161" t="s">
        <v>322</v>
      </c>
      <c r="B12" s="161"/>
      <c r="C12" s="161"/>
      <c r="D12" s="161"/>
      <c r="E12" s="161"/>
      <c r="F12" s="161"/>
      <c r="G12" s="161"/>
      <c r="H12" s="161"/>
      <c r="I12" s="161"/>
    </row>
    <row r="13" spans="1:9" ht="71" customHeight="1" x14ac:dyDescent="0.35">
      <c r="A13" s="154" t="s">
        <v>341</v>
      </c>
      <c r="B13" s="154"/>
      <c r="C13" s="154"/>
      <c r="D13" s="154"/>
      <c r="E13" s="154"/>
      <c r="F13" s="154"/>
      <c r="G13" s="154"/>
      <c r="H13" s="154"/>
      <c r="I13" s="154"/>
    </row>
    <row r="14" spans="1:9" ht="10" customHeight="1" x14ac:dyDescent="0.35">
      <c r="A14" s="125"/>
      <c r="B14" s="125"/>
      <c r="C14" s="125"/>
      <c r="D14" s="125"/>
      <c r="E14" s="125"/>
      <c r="F14" s="125"/>
      <c r="G14" s="125"/>
      <c r="H14" s="125"/>
      <c r="I14" s="125"/>
    </row>
    <row r="15" spans="1:9" ht="15" customHeight="1" x14ac:dyDescent="0.35">
      <c r="A15" s="162" t="s">
        <v>321</v>
      </c>
      <c r="B15" s="162"/>
      <c r="C15" s="162"/>
      <c r="D15" s="162"/>
      <c r="E15" s="162"/>
      <c r="F15" s="162"/>
      <c r="G15" s="162"/>
      <c r="H15" s="162"/>
      <c r="I15" s="162"/>
    </row>
    <row r="16" spans="1:9" ht="26.5" customHeight="1" x14ac:dyDescent="0.35">
      <c r="A16" s="154" t="s">
        <v>320</v>
      </c>
      <c r="B16" s="154"/>
      <c r="C16" s="154"/>
      <c r="D16" s="154"/>
      <c r="E16" s="154"/>
      <c r="F16" s="154"/>
      <c r="G16" s="154"/>
      <c r="H16" s="154"/>
      <c r="I16" s="154"/>
    </row>
    <row r="17" spans="1:9" ht="6.5" customHeight="1" x14ac:dyDescent="0.35">
      <c r="A17" s="124"/>
      <c r="B17" s="124"/>
      <c r="C17" s="124"/>
      <c r="D17" s="124"/>
      <c r="E17" s="124"/>
      <c r="F17" s="124"/>
      <c r="G17" s="124"/>
      <c r="H17" s="124"/>
      <c r="I17" s="124"/>
    </row>
    <row r="18" spans="1:9" ht="25" customHeight="1" x14ac:dyDescent="0.35">
      <c r="A18" s="163" t="s">
        <v>319</v>
      </c>
      <c r="B18" s="163"/>
      <c r="C18" s="163"/>
      <c r="D18" s="163"/>
      <c r="E18" s="163"/>
      <c r="F18" s="163"/>
      <c r="G18" s="163"/>
      <c r="H18" s="163"/>
      <c r="I18" s="163"/>
    </row>
    <row r="19" spans="1:9" ht="15" customHeight="1" x14ac:dyDescent="0.35">
      <c r="A19" s="132" t="s">
        <v>59</v>
      </c>
      <c r="B19" s="156" t="s">
        <v>225</v>
      </c>
      <c r="C19" s="156"/>
      <c r="D19" s="156"/>
      <c r="E19" s="156"/>
      <c r="F19" s="156" t="s">
        <v>342</v>
      </c>
      <c r="G19" s="156"/>
      <c r="H19" s="156" t="s">
        <v>343</v>
      </c>
      <c r="I19" s="156"/>
    </row>
    <row r="20" spans="1:9" ht="15" customHeight="1" x14ac:dyDescent="0.35">
      <c r="A20" s="133">
        <v>1</v>
      </c>
      <c r="B20" s="158" t="s">
        <v>344</v>
      </c>
      <c r="C20" s="158"/>
      <c r="D20" s="158"/>
      <c r="E20" s="158"/>
      <c r="F20" s="157">
        <f>'Quadro de Resumo dos Custos'!F27:H27</f>
        <v>231223.67</v>
      </c>
      <c r="G20" s="157"/>
      <c r="H20" s="157">
        <f>'Quadro de Resumo dos Custos'!F28:F28</f>
        <v>2774684.04</v>
      </c>
      <c r="I20" s="157"/>
    </row>
    <row r="21" spans="1:9" ht="15" customHeight="1" x14ac:dyDescent="0.35">
      <c r="A21" s="159" t="s">
        <v>318</v>
      </c>
      <c r="B21" s="159"/>
      <c r="C21" s="159"/>
      <c r="D21" s="159"/>
      <c r="E21" s="159"/>
      <c r="F21" s="159"/>
      <c r="G21" s="159"/>
      <c r="H21" s="160">
        <f>ROUND(SUM(H20:I20),2)</f>
        <v>2774684.04</v>
      </c>
      <c r="I21" s="160"/>
    </row>
    <row r="22" spans="1:9" ht="10" customHeight="1" x14ac:dyDescent="0.35">
      <c r="A22" s="21"/>
      <c r="B22" s="21"/>
      <c r="C22" s="21"/>
      <c r="D22" s="21"/>
      <c r="E22" s="21"/>
      <c r="F22" s="21"/>
      <c r="G22" s="21"/>
      <c r="H22" s="21"/>
      <c r="I22" s="21"/>
    </row>
    <row r="23" spans="1:9" ht="19" customHeight="1" x14ac:dyDescent="0.35">
      <c r="A23" s="153" t="s">
        <v>317</v>
      </c>
      <c r="B23" s="153"/>
      <c r="C23" s="153"/>
      <c r="D23" s="153"/>
      <c r="E23" s="153"/>
      <c r="F23" s="153"/>
      <c r="G23" s="153"/>
      <c r="H23" s="153"/>
      <c r="I23" s="153"/>
    </row>
    <row r="24" spans="1:9" ht="43.5" customHeight="1" x14ac:dyDescent="0.35">
      <c r="A24" s="154" t="s">
        <v>316</v>
      </c>
      <c r="B24" s="154"/>
      <c r="C24" s="154"/>
      <c r="D24" s="154"/>
      <c r="E24" s="154"/>
      <c r="F24" s="154"/>
      <c r="G24" s="154"/>
      <c r="H24" s="154"/>
      <c r="I24" s="154"/>
    </row>
    <row r="25" spans="1:9" ht="30" customHeight="1" x14ac:dyDescent="0.35">
      <c r="A25" s="154" t="s">
        <v>315</v>
      </c>
      <c r="B25" s="154"/>
      <c r="C25" s="154"/>
      <c r="D25" s="154"/>
      <c r="E25" s="154"/>
      <c r="F25" s="154"/>
      <c r="G25" s="154"/>
      <c r="H25" s="154"/>
      <c r="I25" s="154"/>
    </row>
    <row r="26" spans="1:9" ht="30" customHeight="1" x14ac:dyDescent="0.35">
      <c r="A26" s="155" t="s">
        <v>314</v>
      </c>
      <c r="B26" s="155"/>
      <c r="C26" s="155"/>
      <c r="D26" s="155"/>
      <c r="E26" s="155"/>
      <c r="F26" s="155"/>
      <c r="G26" s="155"/>
      <c r="H26" s="155"/>
      <c r="I26" s="155"/>
    </row>
    <row r="27" spans="1:9" ht="10" customHeight="1" x14ac:dyDescent="0.35">
      <c r="A27" s="21"/>
      <c r="B27" s="21"/>
      <c r="C27" s="21"/>
      <c r="D27" s="21"/>
      <c r="E27" s="21"/>
      <c r="F27" s="21"/>
      <c r="G27" s="21"/>
      <c r="H27" s="21"/>
      <c r="I27" s="21"/>
    </row>
    <row r="28" spans="1:9" x14ac:dyDescent="0.35">
      <c r="A28" s="164" t="s">
        <v>313</v>
      </c>
      <c r="B28" s="164"/>
      <c r="C28" s="164"/>
      <c r="D28" s="165">
        <f>H21</f>
        <v>2774684.04</v>
      </c>
      <c r="E28" s="165"/>
      <c r="F28" s="152" t="s">
        <v>312</v>
      </c>
      <c r="G28" s="152"/>
      <c r="H28" s="152"/>
      <c r="I28" s="152"/>
    </row>
    <row r="29" spans="1:9" ht="10" customHeight="1" x14ac:dyDescent="0.35">
      <c r="A29" s="21"/>
      <c r="B29" s="21"/>
      <c r="C29" s="21"/>
      <c r="D29" s="21"/>
      <c r="E29" s="21"/>
      <c r="F29" s="21"/>
      <c r="G29" s="21"/>
      <c r="H29" s="21"/>
      <c r="I29" s="21"/>
    </row>
    <row r="30" spans="1:9" ht="10" customHeight="1" x14ac:dyDescent="0.35">
      <c r="A30" s="21"/>
      <c r="B30" s="21"/>
      <c r="C30" s="21"/>
      <c r="D30" s="21"/>
      <c r="E30" s="21"/>
      <c r="F30" s="21"/>
      <c r="G30" s="21"/>
      <c r="H30" s="21"/>
      <c r="I30" s="21"/>
    </row>
    <row r="31" spans="1:9" x14ac:dyDescent="0.35">
      <c r="A31" s="21"/>
      <c r="B31" s="21"/>
      <c r="C31" s="21"/>
      <c r="D31" s="21"/>
      <c r="E31" s="167" t="s">
        <v>311</v>
      </c>
      <c r="F31" s="168"/>
      <c r="G31" s="169">
        <f ca="1">TODAY()</f>
        <v>44823</v>
      </c>
      <c r="H31" s="169"/>
      <c r="I31" s="170"/>
    </row>
    <row r="32" spans="1:9" x14ac:dyDescent="0.35">
      <c r="A32" s="21"/>
      <c r="B32" s="21"/>
      <c r="C32" s="21"/>
      <c r="D32" s="21"/>
      <c r="E32" s="21"/>
      <c r="F32" s="21"/>
      <c r="G32" s="21"/>
      <c r="H32" s="21"/>
      <c r="I32" s="21"/>
    </row>
    <row r="33" spans="1:9" x14ac:dyDescent="0.35">
      <c r="A33" s="164" t="s">
        <v>310</v>
      </c>
      <c r="B33" s="164"/>
      <c r="C33" s="166"/>
      <c r="D33" s="166"/>
      <c r="E33" s="166"/>
      <c r="F33" s="21"/>
      <c r="G33" s="21"/>
      <c r="H33" s="21"/>
      <c r="I33" s="21"/>
    </row>
    <row r="34" spans="1:9" x14ac:dyDescent="0.35">
      <c r="A34" s="123"/>
      <c r="B34" s="123"/>
      <c r="C34" s="152" t="s">
        <v>309</v>
      </c>
      <c r="D34" s="152"/>
      <c r="E34" s="152"/>
      <c r="F34" s="21"/>
      <c r="G34" s="21"/>
      <c r="H34" s="21"/>
      <c r="I34" s="21"/>
    </row>
    <row r="35" spans="1:9" x14ac:dyDescent="0.35">
      <c r="A35" s="21"/>
      <c r="B35" s="21"/>
      <c r="C35" s="152" t="s">
        <v>308</v>
      </c>
      <c r="D35" s="152"/>
      <c r="E35" s="152"/>
      <c r="F35" s="21"/>
      <c r="G35" s="21"/>
      <c r="H35" s="21"/>
      <c r="I35" s="21"/>
    </row>
  </sheetData>
  <mergeCells count="48">
    <mergeCell ref="C35:E35"/>
    <mergeCell ref="A28:C28"/>
    <mergeCell ref="D28:E28"/>
    <mergeCell ref="F28:I28"/>
    <mergeCell ref="A33:B33"/>
    <mergeCell ref="C33:E33"/>
    <mergeCell ref="E31:F31"/>
    <mergeCell ref="G31:I31"/>
    <mergeCell ref="A13:I13"/>
    <mergeCell ref="A15:I15"/>
    <mergeCell ref="A16:I16"/>
    <mergeCell ref="F19:G19"/>
    <mergeCell ref="B19:E19"/>
    <mergeCell ref="A18:I18"/>
    <mergeCell ref="G9:I9"/>
    <mergeCell ref="B9:D9"/>
    <mergeCell ref="C34:E34"/>
    <mergeCell ref="A23:I23"/>
    <mergeCell ref="A24:I24"/>
    <mergeCell ref="A25:I25"/>
    <mergeCell ref="A26:I26"/>
    <mergeCell ref="A10:C10"/>
    <mergeCell ref="E10:F10"/>
    <mergeCell ref="H19:I19"/>
    <mergeCell ref="H20:I20"/>
    <mergeCell ref="F20:G20"/>
    <mergeCell ref="B20:E20"/>
    <mergeCell ref="A21:G21"/>
    <mergeCell ref="H21:I21"/>
    <mergeCell ref="A12:I12"/>
    <mergeCell ref="G7:I7"/>
    <mergeCell ref="G8:I8"/>
    <mergeCell ref="H4:I4"/>
    <mergeCell ref="C8:E8"/>
    <mergeCell ref="B4:E4"/>
    <mergeCell ref="B6:E6"/>
    <mergeCell ref="B7:E7"/>
    <mergeCell ref="G6:I6"/>
    <mergeCell ref="A8:B8"/>
    <mergeCell ref="A1:B1"/>
    <mergeCell ref="C1:I1"/>
    <mergeCell ref="A2:B2"/>
    <mergeCell ref="A3:B3"/>
    <mergeCell ref="A5:B5"/>
    <mergeCell ref="C2:I2"/>
    <mergeCell ref="C3:I3"/>
    <mergeCell ref="F4:G4"/>
    <mergeCell ref="C5:I5"/>
  </mergeCells>
  <pageMargins left="0.51181102362204722" right="0.51181102362204722" top="0.78740157480314965" bottom="0.78740157480314965" header="0.31496062992125984" footer="0.31496062992125984"/>
  <pageSetup paperSize="9" scale="94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4581" r:id="rId4" name="Check Box 5">
              <controlPr defaultSize="0" autoFill="0" autoLine="0" autoPict="0">
                <anchor moveWithCells="1">
                  <from>
                    <xdr:col>7</xdr:col>
                    <xdr:colOff>0</xdr:colOff>
                    <xdr:row>3</xdr:row>
                    <xdr:rowOff>12700</xdr:rowOff>
                  </from>
                  <to>
                    <xdr:col>7</xdr:col>
                    <xdr:colOff>774700</xdr:colOff>
                    <xdr:row>3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2" r:id="rId5" name="Check Box 6">
              <controlPr defaultSize="0" autoFill="0" autoLine="0" autoPict="0">
                <anchor moveWithCells="1">
                  <from>
                    <xdr:col>7</xdr:col>
                    <xdr:colOff>793750</xdr:colOff>
                    <xdr:row>3</xdr:row>
                    <xdr:rowOff>6350</xdr:rowOff>
                  </from>
                  <to>
                    <xdr:col>9</xdr:col>
                    <xdr:colOff>12700</xdr:colOff>
                    <xdr:row>3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20447-EE2B-4A55-845E-CDD241ABC7EF}">
  <sheetPr codeName="Planilha2">
    <pageSetUpPr fitToPage="1"/>
  </sheetPr>
  <dimension ref="A1:F20"/>
  <sheetViews>
    <sheetView view="pageBreakPreview" zoomScaleNormal="100" zoomScaleSheetLayoutView="100" workbookViewId="0">
      <selection activeCell="G2" sqref="G2"/>
    </sheetView>
  </sheetViews>
  <sheetFormatPr defaultRowHeight="14.5" x14ac:dyDescent="0.35"/>
  <cols>
    <col min="1" max="1" width="32.1796875" bestFit="1" customWidth="1"/>
    <col min="2" max="4" width="13.6328125" customWidth="1"/>
    <col min="5" max="5" width="14.453125" customWidth="1"/>
    <col min="6" max="6" width="14.26953125" customWidth="1"/>
  </cols>
  <sheetData>
    <row r="1" spans="1:6" x14ac:dyDescent="0.35">
      <c r="A1" s="173" t="s">
        <v>97</v>
      </c>
      <c r="B1" s="174"/>
      <c r="C1" s="174"/>
      <c r="D1" s="174"/>
      <c r="E1" s="174"/>
      <c r="F1" s="174"/>
    </row>
    <row r="2" spans="1:6" ht="207" customHeight="1" x14ac:dyDescent="0.35">
      <c r="A2" s="32" t="s">
        <v>103</v>
      </c>
      <c r="B2" s="171" t="s">
        <v>200</v>
      </c>
      <c r="C2" s="172"/>
      <c r="D2" s="172"/>
      <c r="E2" s="172"/>
      <c r="F2" s="172"/>
    </row>
    <row r="3" spans="1:6" ht="85" customHeight="1" x14ac:dyDescent="0.35">
      <c r="A3" s="175" t="s">
        <v>127</v>
      </c>
      <c r="B3" s="171" t="s">
        <v>345</v>
      </c>
      <c r="C3" s="172"/>
      <c r="D3" s="172"/>
      <c r="E3" s="172"/>
      <c r="F3" s="172"/>
    </row>
    <row r="4" spans="1:6" ht="145.5" customHeight="1" x14ac:dyDescent="0.35">
      <c r="A4" s="175"/>
      <c r="B4" s="171" t="s">
        <v>302</v>
      </c>
      <c r="C4" s="172"/>
      <c r="D4" s="172"/>
      <c r="E4" s="172"/>
      <c r="F4" s="172"/>
    </row>
    <row r="5" spans="1:6" ht="126" customHeight="1" x14ac:dyDescent="0.35">
      <c r="A5" s="175"/>
      <c r="B5" s="171" t="s">
        <v>301</v>
      </c>
      <c r="C5" s="172"/>
      <c r="D5" s="172"/>
      <c r="E5" s="172"/>
      <c r="F5" s="172"/>
    </row>
    <row r="6" spans="1:6" ht="37.5" x14ac:dyDescent="0.35">
      <c r="A6" s="81" t="s">
        <v>80</v>
      </c>
      <c r="B6" s="82" t="s">
        <v>204</v>
      </c>
      <c r="C6" s="82" t="s">
        <v>89</v>
      </c>
      <c r="D6" s="82" t="s">
        <v>201</v>
      </c>
      <c r="E6" s="82" t="s">
        <v>202</v>
      </c>
      <c r="F6" s="82" t="s">
        <v>203</v>
      </c>
    </row>
    <row r="7" spans="1:6" ht="15" customHeight="1" x14ac:dyDescent="0.35">
      <c r="A7" s="84" t="str">
        <f>'Quantidade de Cargo'!A4</f>
        <v>Analista de Departamento Pessoal</v>
      </c>
      <c r="B7" s="33" t="s">
        <v>208</v>
      </c>
      <c r="C7" s="33" t="s">
        <v>60</v>
      </c>
      <c r="D7" s="33">
        <v>3053.88</v>
      </c>
      <c r="E7" s="33" t="s">
        <v>60</v>
      </c>
      <c r="F7" s="33" t="s">
        <v>60</v>
      </c>
    </row>
    <row r="8" spans="1:6" ht="15" customHeight="1" x14ac:dyDescent="0.35">
      <c r="A8" s="83" t="str">
        <f>'Quantidade de Cargo'!A5</f>
        <v>Analista Jurídico</v>
      </c>
      <c r="B8" s="47" t="s">
        <v>205</v>
      </c>
      <c r="C8" s="47">
        <v>3268.45</v>
      </c>
      <c r="D8" s="47" t="s">
        <v>60</v>
      </c>
      <c r="E8" s="47" t="s">
        <v>60</v>
      </c>
      <c r="F8" s="47" t="s">
        <v>60</v>
      </c>
    </row>
    <row r="9" spans="1:6" ht="15" customHeight="1" x14ac:dyDescent="0.35">
      <c r="A9" s="84" t="str">
        <f>'Quantidade de Cargo'!A6</f>
        <v>Arquivista</v>
      </c>
      <c r="B9" s="33" t="s">
        <v>206</v>
      </c>
      <c r="C9" s="33">
        <v>2418.58</v>
      </c>
      <c r="D9" s="33" t="s">
        <v>60</v>
      </c>
      <c r="E9" s="33" t="s">
        <v>60</v>
      </c>
      <c r="F9" s="33" t="s">
        <v>60</v>
      </c>
    </row>
    <row r="10" spans="1:6" ht="15" customHeight="1" x14ac:dyDescent="0.35">
      <c r="A10" s="83" t="str">
        <f>'Quantidade de Cargo'!A7</f>
        <v>Assistente Administrativo I</v>
      </c>
      <c r="B10" s="47" t="s">
        <v>207</v>
      </c>
      <c r="C10" s="47" t="s">
        <v>60</v>
      </c>
      <c r="D10" s="47">
        <v>1560.18</v>
      </c>
      <c r="E10" s="47" t="s">
        <v>60</v>
      </c>
      <c r="F10" s="47" t="s">
        <v>60</v>
      </c>
    </row>
    <row r="11" spans="1:6" ht="15" customHeight="1" x14ac:dyDescent="0.35">
      <c r="A11" s="84" t="str">
        <f>'Quantidade de Cargo'!A8</f>
        <v>Assistente Administrativo II</v>
      </c>
      <c r="B11" s="33" t="s">
        <v>207</v>
      </c>
      <c r="C11" s="33" t="s">
        <v>60</v>
      </c>
      <c r="D11" s="33">
        <v>2700.5</v>
      </c>
      <c r="E11" s="33" t="s">
        <v>60</v>
      </c>
      <c r="F11" s="33" t="s">
        <v>60</v>
      </c>
    </row>
    <row r="12" spans="1:6" ht="15" customHeight="1" x14ac:dyDescent="0.35">
      <c r="A12" s="83" t="str">
        <f>'Quantidade de Cargo'!A9</f>
        <v>Assistente Contábil II</v>
      </c>
      <c r="B12" s="47" t="s">
        <v>209</v>
      </c>
      <c r="C12" s="47" t="s">
        <v>60</v>
      </c>
      <c r="D12" s="47">
        <v>2700.5</v>
      </c>
      <c r="E12" s="47" t="s">
        <v>60</v>
      </c>
      <c r="F12" s="47" t="s">
        <v>60</v>
      </c>
    </row>
    <row r="13" spans="1:6" ht="15" customHeight="1" x14ac:dyDescent="0.35">
      <c r="A13" s="84" t="str">
        <f>'Quantidade de Cargo'!A10</f>
        <v>Assistente de Comunicação</v>
      </c>
      <c r="B13" s="33" t="s">
        <v>210</v>
      </c>
      <c r="C13" s="33">
        <v>2489.83</v>
      </c>
      <c r="D13" s="33" t="s">
        <v>60</v>
      </c>
      <c r="E13" s="33" t="s">
        <v>60</v>
      </c>
      <c r="F13" s="33" t="s">
        <v>60</v>
      </c>
    </row>
    <row r="14" spans="1:6" ht="15" customHeight="1" x14ac:dyDescent="0.35">
      <c r="A14" s="83" t="str">
        <f>'Quantidade de Cargo'!A11</f>
        <v>Assistente Financeiro I</v>
      </c>
      <c r="B14" s="47" t="s">
        <v>207</v>
      </c>
      <c r="C14" s="47" t="s">
        <v>60</v>
      </c>
      <c r="D14" s="47">
        <v>1560.18</v>
      </c>
      <c r="E14" s="47" t="s">
        <v>60</v>
      </c>
      <c r="F14" s="47" t="s">
        <v>60</v>
      </c>
    </row>
    <row r="15" spans="1:6" ht="15" customHeight="1" x14ac:dyDescent="0.35">
      <c r="A15" s="84" t="str">
        <f>'Quantidade de Cargo'!A12</f>
        <v>Copeiro II</v>
      </c>
      <c r="B15" s="33" t="s">
        <v>211</v>
      </c>
      <c r="C15" s="33">
        <v>1415.83</v>
      </c>
      <c r="D15" s="33" t="s">
        <v>60</v>
      </c>
      <c r="E15" s="33" t="s">
        <v>60</v>
      </c>
      <c r="F15" s="33" t="s">
        <v>60</v>
      </c>
    </row>
    <row r="16" spans="1:6" ht="15" customHeight="1" x14ac:dyDescent="0.35">
      <c r="A16" s="83" t="str">
        <f>'Quantidade de Cargo'!A13</f>
        <v>Designer Gráfico</v>
      </c>
      <c r="B16" s="47" t="s">
        <v>212</v>
      </c>
      <c r="C16" s="47">
        <v>2274.1</v>
      </c>
      <c r="D16" s="47" t="s">
        <v>60</v>
      </c>
      <c r="E16" s="47" t="s">
        <v>60</v>
      </c>
      <c r="F16" s="47" t="s">
        <v>60</v>
      </c>
    </row>
    <row r="17" spans="1:6" ht="15" customHeight="1" x14ac:dyDescent="0.35">
      <c r="A17" s="84" t="str">
        <f>'Quantidade de Cargo'!A14</f>
        <v>Motorista</v>
      </c>
      <c r="B17" s="33" t="s">
        <v>213</v>
      </c>
      <c r="C17" s="33" t="s">
        <v>60</v>
      </c>
      <c r="D17" s="33" t="s">
        <v>60</v>
      </c>
      <c r="E17" s="33" t="s">
        <v>60</v>
      </c>
      <c r="F17" s="33">
        <v>1669.04</v>
      </c>
    </row>
    <row r="18" spans="1:6" ht="15" customHeight="1" x14ac:dyDescent="0.35">
      <c r="A18" s="83" t="str">
        <f>'Quantidade de Cargo'!A15</f>
        <v>Oficial de Manutenção</v>
      </c>
      <c r="B18" s="47" t="s">
        <v>214</v>
      </c>
      <c r="C18" s="47" t="s">
        <v>60</v>
      </c>
      <c r="D18" s="47" t="s">
        <v>60</v>
      </c>
      <c r="E18" s="47">
        <v>2498.52</v>
      </c>
      <c r="F18" s="47" t="s">
        <v>60</v>
      </c>
    </row>
    <row r="19" spans="1:6" ht="15" customHeight="1" x14ac:dyDescent="0.35">
      <c r="A19" s="97" t="str">
        <f>'Quantidade de Cargo'!A16</f>
        <v>Técnico de Suporte I</v>
      </c>
      <c r="B19" s="98" t="s">
        <v>215</v>
      </c>
      <c r="C19" s="98" t="s">
        <v>60</v>
      </c>
      <c r="D19" s="98">
        <v>2832.23</v>
      </c>
      <c r="E19" s="98" t="s">
        <v>60</v>
      </c>
      <c r="F19" s="98" t="s">
        <v>60</v>
      </c>
    </row>
    <row r="20" spans="1:6" ht="15" customHeight="1" x14ac:dyDescent="0.35">
      <c r="A20" s="83" t="str">
        <f>'Quantidade de Cargo'!A17</f>
        <v>Técnico de Suporte II</v>
      </c>
      <c r="B20" s="47" t="s">
        <v>215</v>
      </c>
      <c r="C20" s="47" t="s">
        <v>60</v>
      </c>
      <c r="D20" s="47">
        <v>3525.62</v>
      </c>
      <c r="E20" s="47" t="s">
        <v>60</v>
      </c>
      <c r="F20" s="47" t="s">
        <v>60</v>
      </c>
    </row>
  </sheetData>
  <mergeCells count="6">
    <mergeCell ref="B3:F3"/>
    <mergeCell ref="B2:F2"/>
    <mergeCell ref="B4:F4"/>
    <mergeCell ref="B5:F5"/>
    <mergeCell ref="A1:F1"/>
    <mergeCell ref="A3:A5"/>
  </mergeCells>
  <printOptions horizontalCentered="1"/>
  <pageMargins left="0.23622047244094491" right="0.23622047244094491" top="1.3385826771653544" bottom="0.74803149606299213" header="0.9055118110236221" footer="0.31496062992125984"/>
  <pageSetup scale="76" fitToWidth="0" orientation="portrait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9CBDE-31D8-4F53-8B0C-AEBE5AEE9FF9}">
  <sheetPr codeName="Planilha3">
    <pageSetUpPr fitToPage="1"/>
  </sheetPr>
  <dimension ref="A1:F9"/>
  <sheetViews>
    <sheetView view="pageBreakPreview" zoomScaleNormal="100" zoomScaleSheetLayoutView="100" workbookViewId="0">
      <selection activeCell="F13" sqref="F13"/>
    </sheetView>
  </sheetViews>
  <sheetFormatPr defaultRowHeight="14.5" x14ac:dyDescent="0.35"/>
  <cols>
    <col min="1" max="1" width="32.1796875" bestFit="1" customWidth="1"/>
    <col min="2" max="4" width="13.6328125" customWidth="1"/>
    <col min="5" max="5" width="14.453125" customWidth="1"/>
    <col min="6" max="6" width="14.26953125" customWidth="1"/>
  </cols>
  <sheetData>
    <row r="1" spans="1:6" x14ac:dyDescent="0.35">
      <c r="A1" s="179" t="s">
        <v>145</v>
      </c>
      <c r="B1" s="180"/>
      <c r="C1" s="180"/>
      <c r="D1" s="180"/>
      <c r="E1" s="180"/>
      <c r="F1" s="181"/>
    </row>
    <row r="2" spans="1:6" ht="58" customHeight="1" x14ac:dyDescent="0.35">
      <c r="A2" s="32" t="s">
        <v>103</v>
      </c>
      <c r="B2" s="176" t="s">
        <v>128</v>
      </c>
      <c r="C2" s="177"/>
      <c r="D2" s="177"/>
      <c r="E2" s="177"/>
      <c r="F2" s="178"/>
    </row>
    <row r="3" spans="1:6" ht="50" x14ac:dyDescent="0.35">
      <c r="A3" s="68" t="s">
        <v>142</v>
      </c>
      <c r="B3" s="69" t="s">
        <v>294</v>
      </c>
      <c r="C3" s="69" t="s">
        <v>296</v>
      </c>
      <c r="D3" s="69" t="s">
        <v>297</v>
      </c>
      <c r="E3" s="69" t="s">
        <v>299</v>
      </c>
      <c r="F3" s="69" t="s">
        <v>300</v>
      </c>
    </row>
    <row r="4" spans="1:6" ht="15" customHeight="1" x14ac:dyDescent="0.35">
      <c r="A4" s="84" t="str">
        <f>'Salario Base'!A15</f>
        <v>Copeiro II</v>
      </c>
      <c r="B4" s="60">
        <v>1</v>
      </c>
      <c r="C4" s="33">
        <v>84</v>
      </c>
      <c r="D4" s="33">
        <v>36</v>
      </c>
      <c r="E4" s="33">
        <f>ROUND(SUM(C4:D4),2)</f>
        <v>120</v>
      </c>
      <c r="F4" s="33">
        <f>ROUND(B4*E4,2)</f>
        <v>120</v>
      </c>
    </row>
    <row r="5" spans="1:6" ht="15" customHeight="1" x14ac:dyDescent="0.35">
      <c r="A5" s="83" t="str">
        <f>'Salario Base'!A17</f>
        <v>Motorista</v>
      </c>
      <c r="B5" s="61">
        <v>2</v>
      </c>
      <c r="C5" s="47">
        <v>21</v>
      </c>
      <c r="D5" s="47">
        <v>9</v>
      </c>
      <c r="E5" s="47">
        <f>ROUND(SUM(C5:D5),2)</f>
        <v>30</v>
      </c>
      <c r="F5" s="47">
        <f t="shared" ref="F5" si="0">ROUND(B5*E5,2)</f>
        <v>60</v>
      </c>
    </row>
    <row r="6" spans="1:6" ht="15" customHeight="1" x14ac:dyDescent="0.35">
      <c r="A6" s="84" t="str">
        <f>'Salario Base'!A18</f>
        <v>Oficial de Manutenção</v>
      </c>
      <c r="B6" s="60">
        <v>1</v>
      </c>
      <c r="C6" s="33">
        <v>21</v>
      </c>
      <c r="D6" s="33">
        <v>9</v>
      </c>
      <c r="E6" s="33">
        <f>ROUND(SUM(C6:D6),2)</f>
        <v>30</v>
      </c>
      <c r="F6" s="33">
        <f t="shared" ref="F6" si="1">ROUND(B6*E6,2)</f>
        <v>30</v>
      </c>
    </row>
    <row r="7" spans="1:6" ht="15" customHeight="1" x14ac:dyDescent="0.35">
      <c r="A7" s="83" t="str">
        <f>'Salario Base'!A19</f>
        <v>Técnico de Suporte I</v>
      </c>
      <c r="B7" s="61">
        <v>1</v>
      </c>
      <c r="C7" s="47">
        <v>40</v>
      </c>
      <c r="D7" s="47">
        <v>4</v>
      </c>
      <c r="E7" s="47">
        <f t="shared" ref="E7" si="2">ROUND(SUM(C7:D7),2)</f>
        <v>44</v>
      </c>
      <c r="F7" s="47">
        <f t="shared" ref="F7:F8" si="3">ROUND(B7*E7,2)</f>
        <v>44</v>
      </c>
    </row>
    <row r="8" spans="1:6" ht="15" customHeight="1" x14ac:dyDescent="0.35">
      <c r="A8" s="84" t="str">
        <f>'Salario Base'!A20</f>
        <v>Técnico de Suporte II</v>
      </c>
      <c r="B8" s="60">
        <v>2</v>
      </c>
      <c r="C8" s="33">
        <v>40</v>
      </c>
      <c r="D8" s="33">
        <v>4</v>
      </c>
      <c r="E8" s="33">
        <f>ROUND(SUM(C8:D8),2)</f>
        <v>44</v>
      </c>
      <c r="F8" s="33">
        <f t="shared" si="3"/>
        <v>88</v>
      </c>
    </row>
    <row r="9" spans="1:6" x14ac:dyDescent="0.35">
      <c r="A9" s="96" t="s">
        <v>100</v>
      </c>
      <c r="B9" s="56">
        <f>ROUND(SUM(B3:B8),2)</f>
        <v>7</v>
      </c>
      <c r="C9" s="57">
        <f>ROUND(SUM(C3:C8),2)</f>
        <v>206</v>
      </c>
      <c r="D9" s="57">
        <f>ROUND(SUM(D3:D8),2)</f>
        <v>62</v>
      </c>
      <c r="E9" s="57">
        <f>ROUND(SUM(E3:E8),2)</f>
        <v>268</v>
      </c>
      <c r="F9" s="57">
        <f>ROUND(SUM(F3:F8),2)</f>
        <v>342</v>
      </c>
    </row>
  </sheetData>
  <sheetProtection algorithmName="SHA-512" hashValue="bfIbuZmicQrrfbw6gyTmqVYKHMn5jIYHiQyFUuqxbFUY7FZyYMRKVlBjMTqQ24c3jM7ftPt0TvDrm6462ZiN+w==" saltValue="Psg8r2OwDsVeuSGamtR9tg==" spinCount="100000" sheet="1" objects="1" scenarios="1"/>
  <mergeCells count="2">
    <mergeCell ref="B2:F2"/>
    <mergeCell ref="A1:F1"/>
  </mergeCells>
  <printOptions horizontalCentered="1"/>
  <pageMargins left="0.23622047244094491" right="0.23622047244094491" top="1.5354330708661419" bottom="0.74803149606299213" header="0.9055118110236221" footer="0.31496062992125984"/>
  <pageSetup fitToHeight="0" orientation="landscape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5130B-8E29-4FE9-AAFF-91ED0F5EB12B}">
  <sheetPr codeName="Planilha4">
    <pageSetUpPr fitToPage="1"/>
  </sheetPr>
  <dimension ref="A1:E7"/>
  <sheetViews>
    <sheetView view="pageBreakPreview" zoomScaleNormal="100" zoomScaleSheetLayoutView="100" workbookViewId="0">
      <selection activeCell="F13" sqref="F13"/>
    </sheetView>
  </sheetViews>
  <sheetFormatPr defaultRowHeight="14.5" x14ac:dyDescent="0.35"/>
  <cols>
    <col min="1" max="1" width="32.1796875" customWidth="1"/>
    <col min="2" max="2" width="13.6328125" customWidth="1"/>
    <col min="3" max="3" width="10.6328125" customWidth="1"/>
    <col min="4" max="4" width="32.1796875" customWidth="1"/>
    <col min="5" max="5" width="14.453125" customWidth="1"/>
    <col min="6" max="7" width="14.26953125" customWidth="1"/>
    <col min="8" max="8" width="14.6328125" customWidth="1"/>
  </cols>
  <sheetData>
    <row r="1" spans="1:5" x14ac:dyDescent="0.35">
      <c r="A1" s="179" t="s">
        <v>144</v>
      </c>
      <c r="B1" s="181"/>
      <c r="D1" s="179" t="s">
        <v>124</v>
      </c>
      <c r="E1" s="181"/>
    </row>
    <row r="2" spans="1:5" ht="37.5" customHeight="1" x14ac:dyDescent="0.35">
      <c r="A2" s="63" t="s">
        <v>298</v>
      </c>
      <c r="B2" s="62" t="s">
        <v>98</v>
      </c>
      <c r="D2" s="63" t="s">
        <v>298</v>
      </c>
      <c r="E2" s="62" t="s">
        <v>98</v>
      </c>
    </row>
    <row r="3" spans="1:5" x14ac:dyDescent="0.35">
      <c r="A3" s="59" t="s">
        <v>141</v>
      </c>
      <c r="B3" s="33">
        <v>6</v>
      </c>
      <c r="D3" s="59" t="s">
        <v>140</v>
      </c>
      <c r="E3" s="33">
        <v>50</v>
      </c>
    </row>
    <row r="4" spans="1:5" x14ac:dyDescent="0.35">
      <c r="A4" s="58" t="s">
        <v>100</v>
      </c>
      <c r="B4" s="64">
        <f>ROUND(SUM(B3:B3),2)</f>
        <v>6</v>
      </c>
      <c r="D4" s="59" t="s">
        <v>141</v>
      </c>
      <c r="E4" s="33">
        <v>15</v>
      </c>
    </row>
    <row r="5" spans="1:5" x14ac:dyDescent="0.35">
      <c r="D5" s="58" t="s">
        <v>100</v>
      </c>
      <c r="E5" s="64">
        <f>ROUND(SUM(E3:E4),2)</f>
        <v>65</v>
      </c>
    </row>
    <row r="6" spans="1:5" ht="15" customHeight="1" x14ac:dyDescent="0.35">
      <c r="C6" s="67"/>
    </row>
    <row r="7" spans="1:5" ht="26.5" customHeight="1" x14ac:dyDescent="0.35"/>
  </sheetData>
  <sheetProtection algorithmName="SHA-512" hashValue="pJKzmgoRfeRN7BRM/ESt0tLaHMlUZ49qD0jHHL5ODkfCKUsuvAafQTFD6aC7iWQP5OO91SGWEYC7tvnC7n7wTA==" saltValue="S+PKUeIYnRewNjz/NDwZGw==" spinCount="100000" sheet="1" objects="1" scenarios="1"/>
  <mergeCells count="2">
    <mergeCell ref="A1:B1"/>
    <mergeCell ref="D1:E1"/>
  </mergeCells>
  <printOptions horizontalCentered="1"/>
  <pageMargins left="0.23622047244094491" right="0.23622047244094491" top="1.5354330708661419" bottom="0.74803149606299213" header="0.9055118110236221" footer="0.31496062992125984"/>
  <pageSetup fitToHeight="0" orientation="landscape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990EA-80D4-4F73-9300-7B98F1CC0A8A}">
  <sheetPr codeName="Planilha5">
    <pageSetUpPr fitToPage="1"/>
  </sheetPr>
  <dimension ref="A1:I36"/>
  <sheetViews>
    <sheetView view="pageBreakPreview" topLeftCell="A19" zoomScaleNormal="100" zoomScaleSheetLayoutView="100" workbookViewId="0">
      <selection activeCell="F24" sqref="F24"/>
    </sheetView>
  </sheetViews>
  <sheetFormatPr defaultRowHeight="14.5" x14ac:dyDescent="0.35"/>
  <cols>
    <col min="2" max="2" width="32.1796875" bestFit="1" customWidth="1"/>
    <col min="3" max="4" width="13.6328125" customWidth="1"/>
    <col min="5" max="8" width="15.6328125" customWidth="1"/>
  </cols>
  <sheetData>
    <row r="1" spans="1:8" ht="15.5" thickTop="1" thickBot="1" x14ac:dyDescent="0.4">
      <c r="A1" s="182" t="s">
        <v>307</v>
      </c>
      <c r="B1" s="182"/>
      <c r="C1" s="182"/>
      <c r="D1" s="182"/>
      <c r="E1" s="182"/>
      <c r="F1" s="182"/>
      <c r="G1" s="182"/>
      <c r="H1" s="182"/>
    </row>
    <row r="2" spans="1:8" ht="15.5" customHeight="1" thickTop="1" thickBot="1" x14ac:dyDescent="0.4">
      <c r="A2" s="89" t="s">
        <v>68</v>
      </c>
      <c r="B2" s="183" t="s">
        <v>286</v>
      </c>
      <c r="C2" s="183"/>
      <c r="D2" s="184"/>
      <c r="E2" s="184"/>
      <c r="F2" s="184"/>
      <c r="G2" s="184"/>
      <c r="H2" s="184"/>
    </row>
    <row r="3" spans="1:8" ht="38" customHeight="1" thickTop="1" thickBot="1" x14ac:dyDescent="0.4">
      <c r="A3" s="121" t="s">
        <v>65</v>
      </c>
      <c r="B3" s="186" t="s">
        <v>142</v>
      </c>
      <c r="C3" s="186"/>
      <c r="D3" s="122" t="s">
        <v>262</v>
      </c>
      <c r="E3" s="120" t="s">
        <v>67</v>
      </c>
      <c r="F3" s="120" t="s">
        <v>159</v>
      </c>
      <c r="G3" s="120" t="s">
        <v>160</v>
      </c>
      <c r="H3" s="120" t="s">
        <v>161</v>
      </c>
    </row>
    <row r="4" spans="1:8" ht="15.5" thickTop="1" thickBot="1" x14ac:dyDescent="0.4">
      <c r="A4" s="99" t="s">
        <v>146</v>
      </c>
      <c r="B4" s="187" t="str">
        <f>'Quantidade de Cargo'!A4</f>
        <v>Analista de Departamento Pessoal</v>
      </c>
      <c r="C4" s="187"/>
      <c r="D4" s="100">
        <f>'Quantidade de Cargo'!E24</f>
        <v>1</v>
      </c>
      <c r="E4" s="75">
        <f>'A. Departamento Pessoal'!D92</f>
        <v>7557.04</v>
      </c>
      <c r="F4" s="75">
        <f>ROUND(D4*E4,2)</f>
        <v>7557.04</v>
      </c>
      <c r="G4" s="75">
        <f>ROUND(F4*12,2)</f>
        <v>90684.479999999996</v>
      </c>
      <c r="H4" s="75">
        <f>ROUND(G4*2,2)</f>
        <v>181368.95999999999</v>
      </c>
    </row>
    <row r="5" spans="1:8" ht="15.5" thickTop="1" thickBot="1" x14ac:dyDescent="0.4">
      <c r="A5" s="114" t="s">
        <v>147</v>
      </c>
      <c r="B5" s="188" t="str">
        <f>'Quantidade de Cargo'!A5</f>
        <v>Analista Jurídico</v>
      </c>
      <c r="C5" s="188"/>
      <c r="D5" s="115">
        <f>'Quantidade de Cargo'!E25</f>
        <v>2</v>
      </c>
      <c r="E5" s="77">
        <f>'A. Jurídico'!D92</f>
        <v>8056.33</v>
      </c>
      <c r="F5" s="77">
        <f t="shared" ref="F5:F17" si="0">ROUND(D5*E5,2)</f>
        <v>16112.66</v>
      </c>
      <c r="G5" s="77">
        <f t="shared" ref="G5:G17" si="1">ROUND(F5*12,2)</f>
        <v>193351.92</v>
      </c>
      <c r="H5" s="77">
        <f t="shared" ref="H5:H17" si="2">ROUND(G5*2,2)</f>
        <v>386703.84</v>
      </c>
    </row>
    <row r="6" spans="1:8" ht="15.5" thickTop="1" thickBot="1" x14ac:dyDescent="0.4">
      <c r="A6" s="99" t="s">
        <v>148</v>
      </c>
      <c r="B6" s="187" t="str">
        <f>'Quantidade de Cargo'!A6</f>
        <v>Arquivista</v>
      </c>
      <c r="C6" s="187"/>
      <c r="D6" s="100">
        <f>'Quantidade de Cargo'!E26</f>
        <v>1</v>
      </c>
      <c r="E6" s="75">
        <f>Arquivista!D92</f>
        <v>5980.74</v>
      </c>
      <c r="F6" s="75">
        <f t="shared" si="0"/>
        <v>5980.74</v>
      </c>
      <c r="G6" s="75">
        <f t="shared" si="1"/>
        <v>71768.88</v>
      </c>
      <c r="H6" s="75">
        <f t="shared" si="2"/>
        <v>143537.76</v>
      </c>
    </row>
    <row r="7" spans="1:8" ht="15.5" thickTop="1" thickBot="1" x14ac:dyDescent="0.4">
      <c r="A7" s="114" t="s">
        <v>149</v>
      </c>
      <c r="B7" s="188" t="str">
        <f>'Quantidade de Cargo'!A7</f>
        <v>Assistente Administrativo I</v>
      </c>
      <c r="C7" s="188"/>
      <c r="D7" s="115">
        <f>'Quantidade de Cargo'!E27</f>
        <v>16</v>
      </c>
      <c r="E7" s="77">
        <f>'Assist. Administrativo I'!D92</f>
        <v>4162.58</v>
      </c>
      <c r="F7" s="77">
        <f t="shared" si="0"/>
        <v>66601.279999999999</v>
      </c>
      <c r="G7" s="77">
        <f t="shared" si="1"/>
        <v>799215.36</v>
      </c>
      <c r="H7" s="77">
        <f t="shared" si="2"/>
        <v>1598430.72</v>
      </c>
    </row>
    <row r="8" spans="1:8" ht="15.5" thickTop="1" thickBot="1" x14ac:dyDescent="0.4">
      <c r="A8" s="99" t="s">
        <v>150</v>
      </c>
      <c r="B8" s="187" t="str">
        <f>'Quantidade de Cargo'!A8</f>
        <v>Assistente Administrativo II</v>
      </c>
      <c r="C8" s="187"/>
      <c r="D8" s="100">
        <f>'Quantidade de Cargo'!E28</f>
        <v>11</v>
      </c>
      <c r="E8" s="75">
        <f>'Assist. Administrativo II'!D92</f>
        <v>6577.87</v>
      </c>
      <c r="F8" s="75">
        <f t="shared" si="0"/>
        <v>72356.570000000007</v>
      </c>
      <c r="G8" s="75">
        <f t="shared" si="1"/>
        <v>868278.84</v>
      </c>
      <c r="H8" s="75">
        <f t="shared" si="2"/>
        <v>1736557.68</v>
      </c>
    </row>
    <row r="9" spans="1:8" ht="15.5" thickTop="1" thickBot="1" x14ac:dyDescent="0.4">
      <c r="A9" s="114" t="s">
        <v>151</v>
      </c>
      <c r="B9" s="188" t="str">
        <f>'Quantidade de Cargo'!A9</f>
        <v>Assistente Contábil II</v>
      </c>
      <c r="C9" s="188"/>
      <c r="D9" s="115">
        <f>'Quantidade de Cargo'!E29</f>
        <v>1</v>
      </c>
      <c r="E9" s="77">
        <f>'Assist. Contábil II'!D92</f>
        <v>6577.87</v>
      </c>
      <c r="F9" s="77">
        <f t="shared" si="0"/>
        <v>6577.87</v>
      </c>
      <c r="G9" s="77">
        <f t="shared" si="1"/>
        <v>78934.44</v>
      </c>
      <c r="H9" s="77">
        <f t="shared" si="2"/>
        <v>157868.88</v>
      </c>
    </row>
    <row r="10" spans="1:8" ht="15.5" thickTop="1" thickBot="1" x14ac:dyDescent="0.4">
      <c r="A10" s="99" t="s">
        <v>152</v>
      </c>
      <c r="B10" s="187" t="str">
        <f>'Quantidade de Cargo'!A10</f>
        <v>Assistente de Comunicação</v>
      </c>
      <c r="C10" s="187"/>
      <c r="D10" s="100">
        <f>'Quantidade de Cargo'!E30</f>
        <v>1</v>
      </c>
      <c r="E10" s="75">
        <f>'Assist. Comunicação'!D92</f>
        <v>6131.65</v>
      </c>
      <c r="F10" s="75">
        <f t="shared" si="0"/>
        <v>6131.65</v>
      </c>
      <c r="G10" s="75">
        <f t="shared" si="1"/>
        <v>73579.8</v>
      </c>
      <c r="H10" s="75">
        <f t="shared" si="2"/>
        <v>147159.6</v>
      </c>
    </row>
    <row r="11" spans="1:8" ht="15.5" thickTop="1" thickBot="1" x14ac:dyDescent="0.4">
      <c r="A11" s="114" t="s">
        <v>153</v>
      </c>
      <c r="B11" s="188" t="str">
        <f>'Quantidade de Cargo'!A11</f>
        <v>Assistente Financeiro I</v>
      </c>
      <c r="C11" s="188"/>
      <c r="D11" s="115">
        <f>'Quantidade de Cargo'!E31</f>
        <v>1</v>
      </c>
      <c r="E11" s="77">
        <f>'Assist. Financeiro I'!D92</f>
        <v>4162.58</v>
      </c>
      <c r="F11" s="77">
        <f t="shared" si="0"/>
        <v>4162.58</v>
      </c>
      <c r="G11" s="77">
        <f t="shared" si="1"/>
        <v>49950.96</v>
      </c>
      <c r="H11" s="77">
        <f t="shared" si="2"/>
        <v>99901.92</v>
      </c>
    </row>
    <row r="12" spans="1:8" ht="15.5" thickTop="1" thickBot="1" x14ac:dyDescent="0.4">
      <c r="A12" s="99" t="s">
        <v>154</v>
      </c>
      <c r="B12" s="187" t="str">
        <f>'Quantidade de Cargo'!A12</f>
        <v>Copeiro II</v>
      </c>
      <c r="C12" s="187"/>
      <c r="D12" s="100">
        <f>'Quantidade de Cargo'!E32</f>
        <v>1</v>
      </c>
      <c r="E12" s="75">
        <f>'Copeiro II'!D92</f>
        <v>3901.07</v>
      </c>
      <c r="F12" s="75">
        <f t="shared" si="0"/>
        <v>3901.07</v>
      </c>
      <c r="G12" s="75">
        <f t="shared" si="1"/>
        <v>46812.84</v>
      </c>
      <c r="H12" s="75">
        <f t="shared" si="2"/>
        <v>93625.68</v>
      </c>
    </row>
    <row r="13" spans="1:8" ht="15.5" thickTop="1" thickBot="1" x14ac:dyDescent="0.4">
      <c r="A13" s="114" t="s">
        <v>155</v>
      </c>
      <c r="B13" s="188" t="str">
        <f>'Quantidade de Cargo'!A13</f>
        <v>Designer Gráfico</v>
      </c>
      <c r="C13" s="188"/>
      <c r="D13" s="115">
        <f>'Quantidade de Cargo'!E33</f>
        <v>1</v>
      </c>
      <c r="E13" s="77">
        <f>'Designer Gráfico'!D92</f>
        <v>5674.68</v>
      </c>
      <c r="F13" s="77">
        <f t="shared" si="0"/>
        <v>5674.68</v>
      </c>
      <c r="G13" s="77">
        <f t="shared" si="1"/>
        <v>68096.160000000003</v>
      </c>
      <c r="H13" s="77">
        <f t="shared" si="2"/>
        <v>136192.32000000001</v>
      </c>
    </row>
    <row r="14" spans="1:8" ht="15.5" thickTop="1" thickBot="1" x14ac:dyDescent="0.4">
      <c r="A14" s="99" t="s">
        <v>156</v>
      </c>
      <c r="B14" s="187" t="str">
        <f>'Quantidade de Cargo'!A14</f>
        <v>Motorista</v>
      </c>
      <c r="C14" s="187"/>
      <c r="D14" s="100">
        <f>'Quantidade de Cargo'!E34</f>
        <v>2</v>
      </c>
      <c r="E14" s="75">
        <f>Motorista!D92</f>
        <v>5201.93</v>
      </c>
      <c r="F14" s="75">
        <f t="shared" si="0"/>
        <v>10403.86</v>
      </c>
      <c r="G14" s="75">
        <f t="shared" si="1"/>
        <v>124846.32</v>
      </c>
      <c r="H14" s="75">
        <f t="shared" si="2"/>
        <v>249692.64</v>
      </c>
    </row>
    <row r="15" spans="1:8" ht="15.5" thickTop="1" thickBot="1" x14ac:dyDescent="0.4">
      <c r="A15" s="114" t="s">
        <v>157</v>
      </c>
      <c r="B15" s="188" t="str">
        <f>'Quantidade de Cargo'!A15</f>
        <v>Oficial de Manutenção</v>
      </c>
      <c r="C15" s="188"/>
      <c r="D15" s="115">
        <f>'Quantidade de Cargo'!E35</f>
        <v>1</v>
      </c>
      <c r="E15" s="77">
        <f>'Oficial de Manutenção'!D92</f>
        <v>6828.12</v>
      </c>
      <c r="F15" s="77">
        <f t="shared" si="0"/>
        <v>6828.12</v>
      </c>
      <c r="G15" s="77">
        <f t="shared" si="1"/>
        <v>81937.440000000002</v>
      </c>
      <c r="H15" s="77">
        <f t="shared" si="2"/>
        <v>163874.88</v>
      </c>
    </row>
    <row r="16" spans="1:8" ht="15.5" thickTop="1" thickBot="1" x14ac:dyDescent="0.4">
      <c r="A16" s="99" t="s">
        <v>216</v>
      </c>
      <c r="B16" s="187" t="str">
        <f>'Quantidade de Cargo'!A16</f>
        <v>Técnico de Suporte I</v>
      </c>
      <c r="C16" s="187"/>
      <c r="D16" s="100">
        <f>'Quantidade de Cargo'!E36</f>
        <v>1</v>
      </c>
      <c r="E16" s="75">
        <f>'Técnico de Suporte I'!D92</f>
        <v>7070.79</v>
      </c>
      <c r="F16" s="75">
        <f t="shared" si="0"/>
        <v>7070.79</v>
      </c>
      <c r="G16" s="75">
        <f t="shared" si="1"/>
        <v>84849.48</v>
      </c>
      <c r="H16" s="75">
        <f t="shared" si="2"/>
        <v>169698.96</v>
      </c>
    </row>
    <row r="17" spans="1:8" ht="15.5" thickTop="1" thickBot="1" x14ac:dyDescent="0.4">
      <c r="A17" s="114" t="s">
        <v>158</v>
      </c>
      <c r="B17" s="188" t="str">
        <f>'Quantidade de Cargo'!A17</f>
        <v>Técnico de Suporte II</v>
      </c>
      <c r="C17" s="188"/>
      <c r="D17" s="115">
        <f>'Quantidade de Cargo'!E37</f>
        <v>1</v>
      </c>
      <c r="E17" s="77">
        <f>'Técnico de Suporte II'!D92</f>
        <v>8591.81</v>
      </c>
      <c r="F17" s="77">
        <f t="shared" si="0"/>
        <v>8591.81</v>
      </c>
      <c r="G17" s="77">
        <f t="shared" si="1"/>
        <v>103101.72</v>
      </c>
      <c r="H17" s="77">
        <f t="shared" si="2"/>
        <v>206203.44</v>
      </c>
    </row>
    <row r="18" spans="1:8" ht="15.5" thickTop="1" thickBot="1" x14ac:dyDescent="0.4">
      <c r="A18" s="185" t="s">
        <v>293</v>
      </c>
      <c r="B18" s="185"/>
      <c r="C18" s="185"/>
      <c r="D18" s="78">
        <f>ROUND(SUM(D4:D17),2)</f>
        <v>41</v>
      </c>
      <c r="E18" s="79">
        <f>ROUND(SUM(E4:E17),2)</f>
        <v>86475.06</v>
      </c>
      <c r="F18" s="88">
        <f>ROUND(SUM(F4:F17),2)</f>
        <v>227950.72</v>
      </c>
      <c r="G18" s="88">
        <f>ROUND(SUM(G4:G17),2)</f>
        <v>2735408.64</v>
      </c>
      <c r="H18" s="88">
        <f>ROUND(SUM(H4:H17),2)</f>
        <v>5470817.2800000003</v>
      </c>
    </row>
    <row r="19" spans="1:8" ht="8" customHeight="1" thickTop="1" thickBot="1" x14ac:dyDescent="0.4"/>
    <row r="20" spans="1:8" ht="26" customHeight="1" thickTop="1" thickBot="1" x14ac:dyDescent="0.4">
      <c r="A20" s="89" t="s">
        <v>280</v>
      </c>
      <c r="B20" s="186" t="s">
        <v>76</v>
      </c>
      <c r="C20" s="186"/>
      <c r="D20" s="186"/>
      <c r="E20" s="186"/>
      <c r="F20" s="120" t="s">
        <v>289</v>
      </c>
      <c r="G20" s="120" t="s">
        <v>290</v>
      </c>
      <c r="H20" s="120" t="s">
        <v>291</v>
      </c>
    </row>
    <row r="21" spans="1:8" ht="15.5" thickTop="1" thickBot="1" x14ac:dyDescent="0.4">
      <c r="A21" s="74" t="s">
        <v>281</v>
      </c>
      <c r="B21" s="192" t="s">
        <v>77</v>
      </c>
      <c r="C21" s="192"/>
      <c r="D21" s="192"/>
      <c r="E21" s="192"/>
      <c r="F21" s="75">
        <f>'Previsão de Hora-Extra'!F21</f>
        <v>747.98</v>
      </c>
      <c r="G21" s="75">
        <f>ROUND(F21*12,2)</f>
        <v>8975.76</v>
      </c>
      <c r="H21" s="75">
        <f>ROUND(G21*2,2)</f>
        <v>17951.52</v>
      </c>
    </row>
    <row r="22" spans="1:8" ht="15.5" thickTop="1" thickBot="1" x14ac:dyDescent="0.4">
      <c r="A22" s="76" t="s">
        <v>282</v>
      </c>
      <c r="B22" s="193" t="s">
        <v>113</v>
      </c>
      <c r="C22" s="193"/>
      <c r="D22" s="193"/>
      <c r="E22" s="193"/>
      <c r="F22" s="77">
        <f>Passagens!F29</f>
        <v>730.16</v>
      </c>
      <c r="G22" s="77">
        <f>ROUND(F22*12,2)</f>
        <v>8761.92</v>
      </c>
      <c r="H22" s="77">
        <f>ROUND(G22*2,2)</f>
        <v>17523.84</v>
      </c>
    </row>
    <row r="23" spans="1:8" ht="15.5" thickTop="1" thickBot="1" x14ac:dyDescent="0.4">
      <c r="A23" s="74" t="s">
        <v>283</v>
      </c>
      <c r="B23" s="192" t="s">
        <v>107</v>
      </c>
      <c r="C23" s="192"/>
      <c r="D23" s="192"/>
      <c r="E23" s="192"/>
      <c r="F23" s="75">
        <f>Diarias!F29</f>
        <v>1794.81</v>
      </c>
      <c r="G23" s="75">
        <f>ROUND(F23*12,2)</f>
        <v>21537.72</v>
      </c>
      <c r="H23" s="75">
        <f>ROUND(G23*2,2)</f>
        <v>43075.44</v>
      </c>
    </row>
    <row r="24" spans="1:8" ht="15.5" thickTop="1" thickBot="1" x14ac:dyDescent="0.4">
      <c r="A24" s="185" t="s">
        <v>292</v>
      </c>
      <c r="B24" s="185"/>
      <c r="C24" s="185"/>
      <c r="D24" s="185"/>
      <c r="E24" s="185"/>
      <c r="F24" s="79">
        <f>ROUND(SUM(F21:F23),2)</f>
        <v>3272.95</v>
      </c>
      <c r="G24" s="79">
        <f>ROUND(SUM(G21:G23),2)</f>
        <v>39275.4</v>
      </c>
      <c r="H24" s="79">
        <f>ROUND(SUM(H21:H23),2)</f>
        <v>78550.8</v>
      </c>
    </row>
    <row r="25" spans="1:8" ht="8" customHeight="1" thickTop="1" thickBot="1" x14ac:dyDescent="0.4"/>
    <row r="26" spans="1:8" ht="15.5" customHeight="1" thickTop="1" thickBot="1" x14ac:dyDescent="0.4">
      <c r="A26" s="186" t="s">
        <v>287</v>
      </c>
      <c r="B26" s="186"/>
      <c r="C26" s="186"/>
      <c r="D26" s="186"/>
      <c r="E26" s="186"/>
      <c r="F26" s="186"/>
      <c r="G26" s="186"/>
      <c r="H26" s="186"/>
    </row>
    <row r="27" spans="1:8" ht="15.5" thickTop="1" thickBot="1" x14ac:dyDescent="0.4">
      <c r="A27" s="185" t="s">
        <v>288</v>
      </c>
      <c r="B27" s="185"/>
      <c r="C27" s="185"/>
      <c r="D27" s="185"/>
      <c r="E27" s="185"/>
      <c r="F27" s="189">
        <f>ROUND(F18+F24,2)</f>
        <v>231223.67</v>
      </c>
      <c r="G27" s="195"/>
      <c r="H27" s="195"/>
    </row>
    <row r="28" spans="1:8" ht="15.5" thickTop="1" thickBot="1" x14ac:dyDescent="0.4">
      <c r="A28" s="185" t="s">
        <v>122</v>
      </c>
      <c r="B28" s="185"/>
      <c r="C28" s="185"/>
      <c r="D28" s="185"/>
      <c r="E28" s="185"/>
      <c r="F28" s="189">
        <f>ROUND(F27*12,2)</f>
        <v>2774684.04</v>
      </c>
      <c r="G28" s="189"/>
      <c r="H28" s="189"/>
    </row>
    <row r="29" spans="1:8" ht="15.5" thickTop="1" thickBot="1" x14ac:dyDescent="0.4">
      <c r="A29" s="185" t="s">
        <v>177</v>
      </c>
      <c r="B29" s="185"/>
      <c r="C29" s="185"/>
      <c r="D29" s="185"/>
      <c r="E29" s="185"/>
      <c r="F29" s="189">
        <f>ROUND(F27*24,2)</f>
        <v>5549368.0800000001</v>
      </c>
      <c r="G29" s="189"/>
      <c r="H29" s="189"/>
    </row>
    <row r="30" spans="1:8" ht="5" customHeight="1" thickTop="1" x14ac:dyDescent="0.35"/>
    <row r="31" spans="1:8" ht="15" customHeight="1" thickBot="1" x14ac:dyDescent="0.4"/>
    <row r="32" spans="1:8" ht="15.5" thickTop="1" thickBot="1" x14ac:dyDescent="0.4">
      <c r="F32" s="194">
        <f ca="1">TODAY()</f>
        <v>44823</v>
      </c>
      <c r="G32" s="194"/>
      <c r="H32" s="194"/>
    </row>
    <row r="33" spans="1:9" ht="15" thickTop="1" x14ac:dyDescent="0.35">
      <c r="A33" s="21"/>
      <c r="B33" s="21"/>
      <c r="C33" s="21"/>
      <c r="F33" s="118"/>
      <c r="G33" s="21"/>
      <c r="H33" s="21"/>
    </row>
    <row r="34" spans="1:9" ht="15" thickBot="1" x14ac:dyDescent="0.4">
      <c r="A34" s="21"/>
      <c r="B34" s="21"/>
      <c r="C34" s="21"/>
      <c r="F34" s="119"/>
      <c r="G34" s="21"/>
      <c r="H34" s="21"/>
    </row>
    <row r="35" spans="1:9" ht="15" customHeight="1" thickTop="1" thickBot="1" x14ac:dyDescent="0.4">
      <c r="A35" s="186" t="s">
        <v>69</v>
      </c>
      <c r="B35" s="186"/>
      <c r="C35" s="186"/>
      <c r="G35" s="21"/>
      <c r="H35" s="21"/>
      <c r="I35" s="21"/>
    </row>
    <row r="36" spans="1:9" ht="44.5" customHeight="1" thickTop="1" x14ac:dyDescent="0.35">
      <c r="A36" s="21"/>
      <c r="B36" s="21"/>
      <c r="C36" s="21"/>
      <c r="D36" s="190" t="s">
        <v>306</v>
      </c>
      <c r="E36" s="191"/>
      <c r="F36" s="191"/>
      <c r="G36" s="21"/>
      <c r="H36" s="21"/>
      <c r="I36" s="21"/>
    </row>
  </sheetData>
  <mergeCells count="33">
    <mergeCell ref="D36:F36"/>
    <mergeCell ref="B20:E20"/>
    <mergeCell ref="B21:E21"/>
    <mergeCell ref="B22:E22"/>
    <mergeCell ref="B23:E23"/>
    <mergeCell ref="A24:E24"/>
    <mergeCell ref="A26:H26"/>
    <mergeCell ref="F32:H32"/>
    <mergeCell ref="A27:E27"/>
    <mergeCell ref="A28:E28"/>
    <mergeCell ref="A29:E29"/>
    <mergeCell ref="F27:H27"/>
    <mergeCell ref="F29:H29"/>
    <mergeCell ref="B14:C14"/>
    <mergeCell ref="B15:C15"/>
    <mergeCell ref="A35:C35"/>
    <mergeCell ref="B13:C13"/>
    <mergeCell ref="F28:H28"/>
    <mergeCell ref="B16:C16"/>
    <mergeCell ref="B17:C17"/>
    <mergeCell ref="A1:H1"/>
    <mergeCell ref="B2:H2"/>
    <mergeCell ref="A18:C18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</mergeCells>
  <printOptions horizontalCentered="1"/>
  <pageMargins left="0.23622047244094491" right="0.23622047244094491" top="1.3385826771653544" bottom="0.74803149606299213" header="0.9055118110236221" footer="0.31496062992125984"/>
  <pageSetup scale="77" fitToWidth="0" orientation="landscape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27224-E0AF-4DFA-953E-2524DE3C2A32}">
  <sheetPr codeName="Planilha6">
    <pageSetUpPr fitToPage="1"/>
  </sheetPr>
  <dimension ref="A1:D109"/>
  <sheetViews>
    <sheetView view="pageBreakPreview" zoomScaleNormal="100" zoomScaleSheetLayoutView="100" workbookViewId="0">
      <selection activeCell="E6" sqref="E6"/>
    </sheetView>
  </sheetViews>
  <sheetFormatPr defaultRowHeight="14.5" x14ac:dyDescent="0.35"/>
  <cols>
    <col min="1" max="1" width="33.453125" customWidth="1"/>
    <col min="2" max="2" width="14.54296875" customWidth="1"/>
    <col min="3" max="3" width="10.81640625" customWidth="1"/>
    <col min="4" max="4" width="12.26953125" customWidth="1"/>
  </cols>
  <sheetData>
    <row r="1" spans="1:4" ht="28" customHeight="1" x14ac:dyDescent="0.35">
      <c r="A1" s="218" t="s">
        <v>0</v>
      </c>
      <c r="B1" s="218"/>
      <c r="C1" s="218"/>
      <c r="D1" s="218"/>
    </row>
    <row r="2" spans="1:4" ht="30.5" customHeight="1" x14ac:dyDescent="0.35">
      <c r="A2" s="23" t="s">
        <v>2</v>
      </c>
      <c r="B2" s="214" t="str">
        <f>'Quantidade de Cargo'!A4</f>
        <v>Analista de Departamento Pessoal</v>
      </c>
      <c r="C2" s="215"/>
      <c r="D2" s="216"/>
    </row>
    <row r="3" spans="1:4" ht="15" customHeight="1" x14ac:dyDescent="0.35">
      <c r="A3" s="23" t="s">
        <v>61</v>
      </c>
      <c r="B3" s="219" t="str">
        <f>'Salario Base'!B7</f>
        <v>4131-05</v>
      </c>
      <c r="C3" s="220"/>
      <c r="D3" s="221"/>
    </row>
    <row r="4" spans="1:4" ht="15" customHeight="1" x14ac:dyDescent="0.35">
      <c r="A4" s="24" t="s">
        <v>1</v>
      </c>
      <c r="B4" s="214" t="s">
        <v>143</v>
      </c>
      <c r="C4" s="215"/>
      <c r="D4" s="216"/>
    </row>
    <row r="5" spans="1:4" ht="26" x14ac:dyDescent="0.35">
      <c r="A5" s="24" t="s">
        <v>3</v>
      </c>
      <c r="B5" s="222">
        <v>1</v>
      </c>
      <c r="C5" s="220"/>
      <c r="D5" s="221"/>
    </row>
    <row r="6" spans="1:4" ht="65.5" customHeight="1" x14ac:dyDescent="0.35">
      <c r="A6" s="24" t="s">
        <v>62</v>
      </c>
      <c r="B6" s="214" t="s">
        <v>217</v>
      </c>
      <c r="C6" s="215"/>
      <c r="D6" s="216"/>
    </row>
    <row r="7" spans="1:4" ht="15" customHeight="1" x14ac:dyDescent="0.35">
      <c r="A7" s="2"/>
      <c r="B7" s="16"/>
      <c r="C7" s="3"/>
      <c r="D7" s="3"/>
    </row>
    <row r="8" spans="1:4" x14ac:dyDescent="0.35">
      <c r="A8" s="223" t="s">
        <v>4</v>
      </c>
      <c r="B8" s="223"/>
      <c r="C8" s="223"/>
      <c r="D8" s="223"/>
    </row>
    <row r="9" spans="1:4" x14ac:dyDescent="0.35">
      <c r="A9" s="224" t="s">
        <v>70</v>
      </c>
      <c r="B9" s="225"/>
      <c r="C9" s="225"/>
      <c r="D9" s="226"/>
    </row>
    <row r="10" spans="1:4" x14ac:dyDescent="0.35">
      <c r="A10" s="227" t="s">
        <v>5</v>
      </c>
      <c r="B10" s="228"/>
      <c r="C10" s="25" t="s">
        <v>6</v>
      </c>
      <c r="D10" s="25" t="s">
        <v>7</v>
      </c>
    </row>
    <row r="11" spans="1:4" ht="40.5" customHeight="1" x14ac:dyDescent="0.35">
      <c r="A11" s="176" t="s">
        <v>8</v>
      </c>
      <c r="B11" s="178"/>
      <c r="C11" s="22" t="s">
        <v>60</v>
      </c>
      <c r="D11" s="4">
        <f>'Salario Base'!D7</f>
        <v>3053.88</v>
      </c>
    </row>
    <row r="12" spans="1:4" ht="15" customHeight="1" x14ac:dyDescent="0.35">
      <c r="A12" s="229" t="s">
        <v>66</v>
      </c>
      <c r="B12" s="230"/>
      <c r="C12" s="53"/>
      <c r="D12" s="42">
        <f>C12*D11/100</f>
        <v>0</v>
      </c>
    </row>
    <row r="13" spans="1:4" x14ac:dyDescent="0.35">
      <c r="A13" s="217" t="s">
        <v>20</v>
      </c>
      <c r="B13" s="217"/>
      <c r="C13" s="217"/>
      <c r="D13" s="29">
        <f>ROUND(SUM(D11:D12),2)</f>
        <v>3053.88</v>
      </c>
    </row>
    <row r="14" spans="1:4" x14ac:dyDescent="0.35">
      <c r="A14" s="3"/>
      <c r="B14" s="3"/>
      <c r="C14" s="3"/>
      <c r="D14" s="3"/>
    </row>
    <row r="15" spans="1:4" x14ac:dyDescent="0.35">
      <c r="A15" s="202" t="s">
        <v>71</v>
      </c>
      <c r="B15" s="202"/>
      <c r="C15" s="202"/>
      <c r="D15" s="202"/>
    </row>
    <row r="16" spans="1:4" x14ac:dyDescent="0.35">
      <c r="A16" s="202" t="s">
        <v>10</v>
      </c>
      <c r="B16" s="202"/>
      <c r="C16" s="25" t="s">
        <v>6</v>
      </c>
      <c r="D16" s="25" t="s">
        <v>7</v>
      </c>
    </row>
    <row r="17" spans="1:4" x14ac:dyDescent="0.35">
      <c r="A17" s="176" t="s">
        <v>11</v>
      </c>
      <c r="B17" s="178"/>
      <c r="C17" s="11">
        <v>0.2</v>
      </c>
      <c r="D17" s="5">
        <f>ROUND($D$13*C17,2)</f>
        <v>610.78</v>
      </c>
    </row>
    <row r="18" spans="1:4" x14ac:dyDescent="0.35">
      <c r="A18" s="196" t="s">
        <v>12</v>
      </c>
      <c r="B18" s="197"/>
      <c r="C18" s="52">
        <v>0.08</v>
      </c>
      <c r="D18" s="42">
        <f t="shared" ref="D18:D24" si="0">ROUND($D$13*C18,2)</f>
        <v>244.31</v>
      </c>
    </row>
    <row r="19" spans="1:4" x14ac:dyDescent="0.35">
      <c r="A19" s="176" t="s">
        <v>13</v>
      </c>
      <c r="B19" s="178"/>
      <c r="C19" s="11">
        <v>1.4999999999999999E-2</v>
      </c>
      <c r="D19" s="5">
        <f t="shared" si="0"/>
        <v>45.81</v>
      </c>
    </row>
    <row r="20" spans="1:4" ht="25.5" customHeight="1" x14ac:dyDescent="0.35">
      <c r="A20" s="196" t="s">
        <v>14</v>
      </c>
      <c r="B20" s="197"/>
      <c r="C20" s="52">
        <v>0.01</v>
      </c>
      <c r="D20" s="42">
        <f t="shared" si="0"/>
        <v>30.54</v>
      </c>
    </row>
    <row r="21" spans="1:4" ht="28.5" customHeight="1" x14ac:dyDescent="0.35">
      <c r="A21" s="176" t="s">
        <v>15</v>
      </c>
      <c r="B21" s="178"/>
      <c r="C21" s="11">
        <v>2E-3</v>
      </c>
      <c r="D21" s="5">
        <f t="shared" si="0"/>
        <v>6.11</v>
      </c>
    </row>
    <row r="22" spans="1:4" x14ac:dyDescent="0.35">
      <c r="A22" s="196" t="s">
        <v>16</v>
      </c>
      <c r="B22" s="197"/>
      <c r="C22" s="52">
        <v>6.0000000000000001E-3</v>
      </c>
      <c r="D22" s="42">
        <f t="shared" si="0"/>
        <v>18.32</v>
      </c>
    </row>
    <row r="23" spans="1:4" x14ac:dyDescent="0.35">
      <c r="A23" s="212" t="s">
        <v>17</v>
      </c>
      <c r="B23" s="213"/>
      <c r="C23" s="11">
        <v>2.5000000000000001E-2</v>
      </c>
      <c r="D23" s="5">
        <f t="shared" si="0"/>
        <v>76.349999999999994</v>
      </c>
    </row>
    <row r="24" spans="1:4" ht="39.75" customHeight="1" x14ac:dyDescent="0.35">
      <c r="A24" s="229" t="s">
        <v>18</v>
      </c>
      <c r="B24" s="230"/>
      <c r="C24" s="50">
        <v>0.04</v>
      </c>
      <c r="D24" s="42">
        <f t="shared" si="0"/>
        <v>122.16</v>
      </c>
    </row>
    <row r="25" spans="1:4" x14ac:dyDescent="0.35">
      <c r="A25" s="198" t="s">
        <v>19</v>
      </c>
      <c r="B25" s="199"/>
      <c r="C25" s="30">
        <f>ROUND(SUM(C17:C24),5)</f>
        <v>0.378</v>
      </c>
      <c r="D25" s="29">
        <f>ROUND(SUM(D17:D24),2)</f>
        <v>1154.3800000000001</v>
      </c>
    </row>
    <row r="26" spans="1:4" x14ac:dyDescent="0.35">
      <c r="A26" s="20"/>
      <c r="B26" s="20"/>
      <c r="C26" s="6"/>
      <c r="D26" s="7"/>
    </row>
    <row r="27" spans="1:4" x14ac:dyDescent="0.35">
      <c r="A27" s="202" t="s">
        <v>21</v>
      </c>
      <c r="B27" s="202"/>
      <c r="C27" s="25" t="s">
        <v>6</v>
      </c>
      <c r="D27" s="25" t="s">
        <v>7</v>
      </c>
    </row>
    <row r="28" spans="1:4" ht="25" customHeight="1" x14ac:dyDescent="0.35">
      <c r="A28" s="212" t="s">
        <v>22</v>
      </c>
      <c r="B28" s="213"/>
      <c r="C28" s="9">
        <f>ROUND(1/12,5)</f>
        <v>8.3330000000000001E-2</v>
      </c>
      <c r="D28" s="5">
        <f>ROUND($D$13*C28,2)</f>
        <v>254.48</v>
      </c>
    </row>
    <row r="29" spans="1:4" ht="25" customHeight="1" x14ac:dyDescent="0.35">
      <c r="A29" s="196" t="s">
        <v>263</v>
      </c>
      <c r="B29" s="197"/>
      <c r="C29" s="51">
        <f>ROUND((1/3)/12,5)</f>
        <v>2.7779999999999999E-2</v>
      </c>
      <c r="D29" s="42">
        <f t="shared" ref="D29:D35" si="1">ROUND($D$13*C29,2)</f>
        <v>84.84</v>
      </c>
    </row>
    <row r="30" spans="1:4" ht="25" customHeight="1" x14ac:dyDescent="0.35">
      <c r="A30" s="176" t="s">
        <v>23</v>
      </c>
      <c r="B30" s="178"/>
      <c r="C30" s="10">
        <f>ROUND((((100% / 30) * 7) / 12),5)</f>
        <v>1.9439999999999999E-2</v>
      </c>
      <c r="D30" s="5">
        <f t="shared" si="1"/>
        <v>59.37</v>
      </c>
    </row>
    <row r="31" spans="1:4" ht="25" customHeight="1" x14ac:dyDescent="0.35">
      <c r="A31" s="196" t="s">
        <v>24</v>
      </c>
      <c r="B31" s="197"/>
      <c r="C31" s="51">
        <f>ROUND((5/30)/12,5)</f>
        <v>1.389E-2</v>
      </c>
      <c r="D31" s="42">
        <f t="shared" si="1"/>
        <v>42.42</v>
      </c>
    </row>
    <row r="32" spans="1:4" ht="25" customHeight="1" x14ac:dyDescent="0.35">
      <c r="A32" s="176" t="s">
        <v>25</v>
      </c>
      <c r="B32" s="178"/>
      <c r="C32" s="10">
        <f>ROUND(((15/30/12)*0.08),5)</f>
        <v>3.3300000000000001E-3</v>
      </c>
      <c r="D32" s="5">
        <f t="shared" si="1"/>
        <v>10.17</v>
      </c>
    </row>
    <row r="33" spans="1:4" ht="25" customHeight="1" x14ac:dyDescent="0.35">
      <c r="A33" s="196" t="s">
        <v>26</v>
      </c>
      <c r="B33" s="197"/>
      <c r="C33" s="51">
        <f>ROUND((1/30)/12,5)</f>
        <v>2.7799999999999999E-3</v>
      </c>
      <c r="D33" s="42">
        <f t="shared" si="1"/>
        <v>8.49</v>
      </c>
    </row>
    <row r="34" spans="1:4" ht="25" customHeight="1" x14ac:dyDescent="0.35">
      <c r="A34" s="176" t="s">
        <v>27</v>
      </c>
      <c r="B34" s="178"/>
      <c r="C34" s="10">
        <f>ROUND(0.1111*0.02*0.333,5)</f>
        <v>7.3999999999999999E-4</v>
      </c>
      <c r="D34" s="5">
        <f t="shared" si="1"/>
        <v>2.2599999999999998</v>
      </c>
    </row>
    <row r="35" spans="1:4" ht="25" customHeight="1" x14ac:dyDescent="0.35">
      <c r="A35" s="196" t="s">
        <v>28</v>
      </c>
      <c r="B35" s="197"/>
      <c r="C35" s="51">
        <f>ROUND(((5/30)/12)*0.015,5)</f>
        <v>2.1000000000000001E-4</v>
      </c>
      <c r="D35" s="42">
        <f t="shared" si="1"/>
        <v>0.64</v>
      </c>
    </row>
    <row r="36" spans="1:4" ht="25" customHeight="1" x14ac:dyDescent="0.35">
      <c r="A36" s="176" t="s">
        <v>264</v>
      </c>
      <c r="B36" s="178"/>
      <c r="C36" s="10">
        <f>ROUND(1/12,5)</f>
        <v>8.3330000000000001E-2</v>
      </c>
      <c r="D36" s="5">
        <f t="shared" ref="D36" si="2">ROUND($D$13*C36,2)</f>
        <v>254.48</v>
      </c>
    </row>
    <row r="37" spans="1:4" x14ac:dyDescent="0.35">
      <c r="A37" s="198" t="s">
        <v>29</v>
      </c>
      <c r="B37" s="199"/>
      <c r="C37" s="30">
        <f>ROUND(SUM(C28:C36),5)</f>
        <v>0.23483000000000001</v>
      </c>
      <c r="D37" s="29">
        <f>ROUND(SUM(D28:D36),2)</f>
        <v>717.15</v>
      </c>
    </row>
    <row r="38" spans="1:4" x14ac:dyDescent="0.35">
      <c r="A38" s="20"/>
      <c r="B38" s="20"/>
      <c r="C38" s="8"/>
      <c r="D38" s="7"/>
    </row>
    <row r="39" spans="1:4" x14ac:dyDescent="0.35">
      <c r="A39" s="207" t="s">
        <v>30</v>
      </c>
      <c r="B39" s="208"/>
      <c r="C39" s="25" t="s">
        <v>6</v>
      </c>
      <c r="D39" s="25" t="s">
        <v>7</v>
      </c>
    </row>
    <row r="40" spans="1:4" ht="25" customHeight="1" x14ac:dyDescent="0.35">
      <c r="A40" s="210" t="s">
        <v>31</v>
      </c>
      <c r="B40" s="211"/>
      <c r="C40" s="12">
        <f>ROUND(1/12*5%,5)</f>
        <v>4.1700000000000001E-3</v>
      </c>
      <c r="D40" s="54">
        <f>ROUND($D$13*C40,2)</f>
        <v>12.73</v>
      </c>
    </row>
    <row r="41" spans="1:4" ht="25" customHeight="1" x14ac:dyDescent="0.35">
      <c r="A41" s="196" t="s">
        <v>32</v>
      </c>
      <c r="B41" s="197"/>
      <c r="C41" s="50">
        <f>ROUND(0.02*(1/12),5)</f>
        <v>1.67E-3</v>
      </c>
      <c r="D41" s="42">
        <f>ROUND($D$13*C41,2)</f>
        <v>5.0999999999999996</v>
      </c>
    </row>
    <row r="42" spans="1:4" ht="25" customHeight="1" x14ac:dyDescent="0.35">
      <c r="A42" s="210" t="s">
        <v>33</v>
      </c>
      <c r="B42" s="211"/>
      <c r="C42" s="15">
        <f>ROUND(40%*8%,5)</f>
        <v>3.2000000000000001E-2</v>
      </c>
      <c r="D42" s="54">
        <f>ROUND($D$13*C42,2)</f>
        <v>97.72</v>
      </c>
    </row>
    <row r="43" spans="1:4" x14ac:dyDescent="0.35">
      <c r="A43" s="198" t="s">
        <v>34</v>
      </c>
      <c r="B43" s="199"/>
      <c r="C43" s="30">
        <f>ROUND(SUM(C40:C42),5)</f>
        <v>3.7839999999999999E-2</v>
      </c>
      <c r="D43" s="29">
        <f>ROUND(SUM(D40:D42),2)</f>
        <v>115.55</v>
      </c>
    </row>
    <row r="44" spans="1:4" x14ac:dyDescent="0.35">
      <c r="A44" s="20"/>
      <c r="B44" s="20"/>
      <c r="C44" s="8"/>
      <c r="D44" s="7"/>
    </row>
    <row r="45" spans="1:4" x14ac:dyDescent="0.35">
      <c r="A45" s="207" t="s">
        <v>35</v>
      </c>
      <c r="B45" s="208"/>
      <c r="C45" s="25" t="s">
        <v>6</v>
      </c>
      <c r="D45" s="25" t="s">
        <v>7</v>
      </c>
    </row>
    <row r="46" spans="1:4" ht="29" customHeight="1" x14ac:dyDescent="0.35">
      <c r="A46" s="176" t="s">
        <v>36</v>
      </c>
      <c r="B46" s="178"/>
      <c r="C46" s="14">
        <f>ROUND(C25*C37,5)</f>
        <v>8.8770000000000002E-2</v>
      </c>
      <c r="D46" s="5">
        <f>ROUND($D$13*C46,2)</f>
        <v>271.08999999999997</v>
      </c>
    </row>
    <row r="47" spans="1:4" x14ac:dyDescent="0.35">
      <c r="A47" s="198" t="s">
        <v>37</v>
      </c>
      <c r="B47" s="199"/>
      <c r="C47" s="30">
        <f>ROUND(SUM(C46),5)</f>
        <v>8.8770000000000002E-2</v>
      </c>
      <c r="D47" s="29">
        <f>ROUND(SUM(D46),2)</f>
        <v>271.08999999999997</v>
      </c>
    </row>
    <row r="48" spans="1:4" x14ac:dyDescent="0.35">
      <c r="A48" s="20"/>
      <c r="B48" s="20"/>
      <c r="C48" s="8"/>
      <c r="D48" s="7"/>
    </row>
    <row r="49" spans="1:4" x14ac:dyDescent="0.35">
      <c r="A49" s="207" t="s">
        <v>38</v>
      </c>
      <c r="B49" s="208"/>
      <c r="C49" s="25" t="s">
        <v>6</v>
      </c>
      <c r="D49" s="25" t="s">
        <v>7</v>
      </c>
    </row>
    <row r="50" spans="1:4" ht="65.5" customHeight="1" x14ac:dyDescent="0.35">
      <c r="A50" s="176" t="s">
        <v>39</v>
      </c>
      <c r="B50" s="178"/>
      <c r="C50" s="15">
        <f>ROUND(8%*C40,5)</f>
        <v>3.3E-4</v>
      </c>
      <c r="D50" s="5">
        <f>ROUND($D$13*C50,2)</f>
        <v>1.01</v>
      </c>
    </row>
    <row r="51" spans="1:4" x14ac:dyDescent="0.35">
      <c r="A51" s="198" t="s">
        <v>40</v>
      </c>
      <c r="B51" s="199"/>
      <c r="C51" s="30">
        <f>ROUND(SUM(C50:C50),5)</f>
        <v>3.3E-4</v>
      </c>
      <c r="D51" s="29">
        <f>ROUND(SUM(D50:D50),2)</f>
        <v>1.01</v>
      </c>
    </row>
    <row r="52" spans="1:4" x14ac:dyDescent="0.35">
      <c r="A52" s="20"/>
      <c r="B52" s="20"/>
      <c r="C52" s="8"/>
      <c r="D52" s="7"/>
    </row>
    <row r="53" spans="1:4" x14ac:dyDescent="0.35">
      <c r="A53" s="207" t="s">
        <v>41</v>
      </c>
      <c r="B53" s="208"/>
      <c r="C53" s="25" t="s">
        <v>6</v>
      </c>
      <c r="D53" s="25" t="s">
        <v>7</v>
      </c>
    </row>
    <row r="54" spans="1:4" ht="118" customHeight="1" x14ac:dyDescent="0.35">
      <c r="A54" s="176" t="s">
        <v>42</v>
      </c>
      <c r="B54" s="178"/>
      <c r="C54" s="14">
        <f>ROUND(C25*(13/12)*(4/12)*2/100,5)</f>
        <v>2.7299999999999998E-3</v>
      </c>
      <c r="D54" s="5">
        <f>ROUND($D$13*C54,2)</f>
        <v>8.34</v>
      </c>
    </row>
    <row r="55" spans="1:4" x14ac:dyDescent="0.35">
      <c r="A55" s="198" t="s">
        <v>43</v>
      </c>
      <c r="B55" s="199"/>
      <c r="C55" s="30">
        <f>ROUND(SUM(C54),5)</f>
        <v>2.7299999999999998E-3</v>
      </c>
      <c r="D55" s="29">
        <f>ROUND(SUM(D54),2)</f>
        <v>8.34</v>
      </c>
    </row>
    <row r="56" spans="1:4" x14ac:dyDescent="0.35">
      <c r="A56" s="198" t="s">
        <v>44</v>
      </c>
      <c r="B56" s="199"/>
      <c r="C56" s="30">
        <f>ROUND(C25+C37+C43+C47+C51+C55,5)</f>
        <v>0.74250000000000005</v>
      </c>
      <c r="D56" s="29">
        <f>ROUND(D25+D37+D43+D47+D51+D55,2)</f>
        <v>2267.52</v>
      </c>
    </row>
    <row r="57" spans="1:4" ht="15" customHeight="1" x14ac:dyDescent="0.35">
      <c r="A57" s="20"/>
      <c r="B57" s="20"/>
      <c r="C57" s="8"/>
      <c r="D57" s="7"/>
    </row>
    <row r="58" spans="1:4" ht="15" customHeight="1" x14ac:dyDescent="0.35">
      <c r="A58" s="198" t="s">
        <v>45</v>
      </c>
      <c r="B58" s="200"/>
      <c r="C58" s="199"/>
      <c r="D58" s="29">
        <f>D13+D56</f>
        <v>5321.4</v>
      </c>
    </row>
    <row r="59" spans="1:4" ht="15" customHeight="1" x14ac:dyDescent="0.35">
      <c r="A59" s="3"/>
      <c r="B59" s="3"/>
      <c r="C59" s="3"/>
      <c r="D59" s="3"/>
    </row>
    <row r="60" spans="1:4" ht="15" customHeight="1" x14ac:dyDescent="0.35">
      <c r="A60" s="202" t="s">
        <v>72</v>
      </c>
      <c r="B60" s="202"/>
      <c r="C60" s="202"/>
      <c r="D60" s="202"/>
    </row>
    <row r="61" spans="1:4" x14ac:dyDescent="0.35">
      <c r="A61" s="202" t="s">
        <v>46</v>
      </c>
      <c r="B61" s="202"/>
      <c r="C61" s="90" t="s">
        <v>218</v>
      </c>
      <c r="D61" s="26" t="s">
        <v>7</v>
      </c>
    </row>
    <row r="62" spans="1:4" ht="96" customHeight="1" x14ac:dyDescent="0.35">
      <c r="A62" s="206" t="s">
        <v>91</v>
      </c>
      <c r="B62" s="206"/>
      <c r="C62" s="33">
        <v>15</v>
      </c>
      <c r="D62" s="33">
        <f>ROUND(C62*22,2)</f>
        <v>330</v>
      </c>
    </row>
    <row r="63" spans="1:4" ht="53.5" customHeight="1" x14ac:dyDescent="0.35">
      <c r="A63" s="209" t="s">
        <v>92</v>
      </c>
      <c r="B63" s="209"/>
      <c r="C63" s="101">
        <v>0.1</v>
      </c>
      <c r="D63" s="49">
        <f>ROUND(D62*C63,2)*-1</f>
        <v>-33</v>
      </c>
    </row>
    <row r="64" spans="1:4" ht="29.5" customHeight="1" x14ac:dyDescent="0.35">
      <c r="A64" s="206" t="s">
        <v>78</v>
      </c>
      <c r="B64" s="206"/>
      <c r="C64" s="33">
        <v>100</v>
      </c>
      <c r="D64" s="33">
        <f>C64</f>
        <v>100</v>
      </c>
    </row>
    <row r="65" spans="1:4" ht="102.5" customHeight="1" x14ac:dyDescent="0.35">
      <c r="A65" s="205" t="s">
        <v>93</v>
      </c>
      <c r="B65" s="205"/>
      <c r="C65" s="102">
        <v>3.8</v>
      </c>
      <c r="D65" s="47">
        <f>ROUND(C65*2*22,2)</f>
        <v>167.2</v>
      </c>
    </row>
    <row r="66" spans="1:4" ht="62" customHeight="1" x14ac:dyDescent="0.35">
      <c r="A66" s="204" t="s">
        <v>94</v>
      </c>
      <c r="B66" s="204"/>
      <c r="C66" s="103">
        <v>0.06</v>
      </c>
      <c r="D66" s="34" t="str">
        <f>IF(D11*C66&gt;D65,"-",ROUND(D11*C66,2)*-1)</f>
        <v>-</v>
      </c>
    </row>
    <row r="67" spans="1:4" ht="29.5" customHeight="1" x14ac:dyDescent="0.35">
      <c r="A67" s="205" t="s">
        <v>79</v>
      </c>
      <c r="B67" s="205"/>
      <c r="C67" s="102">
        <v>15</v>
      </c>
      <c r="D67" s="47">
        <f>C67</f>
        <v>15</v>
      </c>
    </row>
    <row r="68" spans="1:4" ht="44.5" customHeight="1" x14ac:dyDescent="0.35">
      <c r="A68" s="206" t="s">
        <v>219</v>
      </c>
      <c r="B68" s="206"/>
      <c r="C68" s="104">
        <v>10</v>
      </c>
      <c r="D68" s="33">
        <f>C68</f>
        <v>10</v>
      </c>
    </row>
    <row r="69" spans="1:4" ht="29.5" customHeight="1" x14ac:dyDescent="0.35">
      <c r="A69" s="205" t="s">
        <v>95</v>
      </c>
      <c r="B69" s="205"/>
      <c r="C69" s="102">
        <v>10</v>
      </c>
      <c r="D69" s="47">
        <f>C69</f>
        <v>10</v>
      </c>
    </row>
    <row r="70" spans="1:4" ht="25.5" customHeight="1" x14ac:dyDescent="0.35">
      <c r="A70" s="206" t="s">
        <v>47</v>
      </c>
      <c r="B70" s="206"/>
      <c r="C70" s="60" t="s">
        <v>60</v>
      </c>
      <c r="D70" s="33">
        <f>'Uniforme Tipo I'!F13</f>
        <v>82.32</v>
      </c>
    </row>
    <row r="71" spans="1:4" ht="25.5" customHeight="1" x14ac:dyDescent="0.35">
      <c r="A71" s="233" t="s">
        <v>265</v>
      </c>
      <c r="B71" s="234"/>
      <c r="C71" s="61" t="s">
        <v>60</v>
      </c>
      <c r="D71" s="45">
        <f>'Manutenção Equip.'!F7</f>
        <v>22.3</v>
      </c>
    </row>
    <row r="72" spans="1:4" ht="15" customHeight="1" x14ac:dyDescent="0.35">
      <c r="A72" s="217" t="s">
        <v>48</v>
      </c>
      <c r="B72" s="217"/>
      <c r="C72" s="217"/>
      <c r="D72" s="29">
        <f>ROUND(SUM(D62:D70),2)</f>
        <v>681.52</v>
      </c>
    </row>
    <row r="73" spans="1:4" x14ac:dyDescent="0.35">
      <c r="A73" s="20"/>
      <c r="B73" s="20"/>
      <c r="C73" s="20"/>
      <c r="D73" s="7"/>
    </row>
    <row r="74" spans="1:4" ht="30" customHeight="1" x14ac:dyDescent="0.35">
      <c r="A74" s="198" t="s">
        <v>49</v>
      </c>
      <c r="B74" s="200"/>
      <c r="C74" s="199"/>
      <c r="D74" s="29">
        <f>ROUND(D58+D72,2)</f>
        <v>6002.92</v>
      </c>
    </row>
    <row r="75" spans="1:4" x14ac:dyDescent="0.35">
      <c r="A75" s="20"/>
      <c r="B75" s="20"/>
      <c r="C75" s="20"/>
      <c r="D75" s="7"/>
    </row>
    <row r="76" spans="1:4" x14ac:dyDescent="0.35">
      <c r="A76" s="202" t="s">
        <v>88</v>
      </c>
      <c r="B76" s="202"/>
      <c r="C76" s="202"/>
      <c r="D76" s="202"/>
    </row>
    <row r="77" spans="1:4" x14ac:dyDescent="0.35">
      <c r="A77" s="207" t="s">
        <v>50</v>
      </c>
      <c r="B77" s="208"/>
      <c r="C77" s="25" t="s">
        <v>6</v>
      </c>
      <c r="D77" s="25" t="s">
        <v>7</v>
      </c>
    </row>
    <row r="78" spans="1:4" s="1" customFormat="1" ht="30" customHeight="1" x14ac:dyDescent="0.3">
      <c r="A78" s="176" t="s">
        <v>51</v>
      </c>
      <c r="B78" s="178"/>
      <c r="C78" s="13">
        <v>0.05</v>
      </c>
      <c r="D78" s="18">
        <f>ROUND(D74*C78,2)</f>
        <v>300.14999999999998</v>
      </c>
    </row>
    <row r="79" spans="1:4" s="1" customFormat="1" ht="30" customHeight="1" x14ac:dyDescent="0.3">
      <c r="A79" s="196" t="s">
        <v>9</v>
      </c>
      <c r="B79" s="197"/>
      <c r="C79" s="41">
        <v>0.1</v>
      </c>
      <c r="D79" s="44">
        <f>ROUND(D74*C79,2)</f>
        <v>600.29</v>
      </c>
    </row>
    <row r="80" spans="1:4" x14ac:dyDescent="0.35">
      <c r="A80" s="198" t="s">
        <v>52</v>
      </c>
      <c r="B80" s="199"/>
      <c r="C80" s="31">
        <f>ROUND(SUM(C78:C79),5)</f>
        <v>0.15</v>
      </c>
      <c r="D80" s="29">
        <f>SUM(D78:D79)</f>
        <v>900.43999999999994</v>
      </c>
    </row>
    <row r="81" spans="1:4" x14ac:dyDescent="0.35">
      <c r="A81" s="20"/>
      <c r="B81" s="20"/>
      <c r="C81" s="6"/>
      <c r="D81" s="7"/>
    </row>
    <row r="82" spans="1:4" ht="30" customHeight="1" x14ac:dyDescent="0.35">
      <c r="A82" s="198" t="s">
        <v>73</v>
      </c>
      <c r="B82" s="200"/>
      <c r="C82" s="199"/>
      <c r="D82" s="29">
        <f>ROUND(D74+D80,2)</f>
        <v>6903.36</v>
      </c>
    </row>
    <row r="83" spans="1:4" x14ac:dyDescent="0.35">
      <c r="A83" s="20"/>
      <c r="B83" s="20"/>
      <c r="C83" s="20"/>
      <c r="D83" s="7"/>
    </row>
    <row r="84" spans="1:4" ht="35.25" customHeight="1" x14ac:dyDescent="0.35">
      <c r="A84" s="235" t="s">
        <v>63</v>
      </c>
      <c r="B84" s="235"/>
      <c r="C84" s="30">
        <f>ROUND(1-(SUM(C87:C89)/1),5)</f>
        <v>0.91349999999999998</v>
      </c>
      <c r="D84" s="29">
        <f>ROUND(D82/C84,2)</f>
        <v>7557.04</v>
      </c>
    </row>
    <row r="85" spans="1:4" x14ac:dyDescent="0.35">
      <c r="A85" s="3"/>
      <c r="B85" s="3"/>
      <c r="C85" s="3"/>
      <c r="D85" s="3"/>
    </row>
    <row r="86" spans="1:4" x14ac:dyDescent="0.35">
      <c r="A86" s="207" t="s">
        <v>53</v>
      </c>
      <c r="B86" s="208"/>
      <c r="C86" s="25" t="s">
        <v>6</v>
      </c>
      <c r="D86" s="25" t="s">
        <v>7</v>
      </c>
    </row>
    <row r="87" spans="1:4" ht="22" customHeight="1" x14ac:dyDescent="0.35">
      <c r="A87" s="176" t="s">
        <v>54</v>
      </c>
      <c r="B87" s="178"/>
      <c r="C87" s="13">
        <v>0.05</v>
      </c>
      <c r="D87" s="5">
        <f>ROUND($D$84*C87,2)</f>
        <v>377.85</v>
      </c>
    </row>
    <row r="88" spans="1:4" ht="22" customHeight="1" x14ac:dyDescent="0.35">
      <c r="A88" s="196" t="s">
        <v>55</v>
      </c>
      <c r="B88" s="197"/>
      <c r="C88" s="41">
        <v>0.03</v>
      </c>
      <c r="D88" s="42">
        <f>ROUND($D$84*C88,2)</f>
        <v>226.71</v>
      </c>
    </row>
    <row r="89" spans="1:4" ht="22" customHeight="1" x14ac:dyDescent="0.35">
      <c r="A89" s="176" t="s">
        <v>56</v>
      </c>
      <c r="B89" s="178"/>
      <c r="C89" s="13">
        <v>6.4999999999999997E-3</v>
      </c>
      <c r="D89" s="5">
        <f>ROUND($D$84*C89,2)</f>
        <v>49.12</v>
      </c>
    </row>
    <row r="90" spans="1:4" x14ac:dyDescent="0.35">
      <c r="A90" s="198" t="s">
        <v>57</v>
      </c>
      <c r="B90" s="199"/>
      <c r="C90" s="30">
        <f>ROUND(SUM(C87:C89),5)</f>
        <v>8.6499999999999994E-2</v>
      </c>
      <c r="D90" s="29">
        <f>ROUND(SUM(D87:D89),2)</f>
        <v>653.67999999999995</v>
      </c>
    </row>
    <row r="91" spans="1:4" ht="10" customHeight="1" x14ac:dyDescent="0.35">
      <c r="A91" s="3"/>
      <c r="B91" s="3"/>
      <c r="C91" s="3"/>
      <c r="D91" s="3"/>
    </row>
    <row r="92" spans="1:4" ht="25" customHeight="1" x14ac:dyDescent="0.35">
      <c r="A92" s="198" t="s">
        <v>58</v>
      </c>
      <c r="B92" s="200"/>
      <c r="C92" s="199"/>
      <c r="D92" s="29">
        <f>ROUND(D82+D90,2)</f>
        <v>7557.04</v>
      </c>
    </row>
    <row r="93" spans="1:4" ht="25" customHeight="1" x14ac:dyDescent="0.35">
      <c r="A93" s="198" t="s">
        <v>64</v>
      </c>
      <c r="B93" s="200"/>
      <c r="C93" s="199"/>
      <c r="D93" s="29">
        <f>ROUND(D92*12,2)</f>
        <v>90684.479999999996</v>
      </c>
    </row>
    <row r="94" spans="1:4" ht="10" customHeight="1" x14ac:dyDescent="0.35">
      <c r="A94" s="20"/>
      <c r="B94" s="20"/>
      <c r="C94" s="20"/>
      <c r="D94" s="7"/>
    </row>
    <row r="95" spans="1:4" ht="15" customHeight="1" x14ac:dyDescent="0.35">
      <c r="A95" s="202" t="s">
        <v>59</v>
      </c>
      <c r="B95" s="202"/>
      <c r="C95" s="202"/>
      <c r="D95" s="27" t="s">
        <v>6</v>
      </c>
    </row>
    <row r="96" spans="1:4" ht="15" customHeight="1" x14ac:dyDescent="0.35">
      <c r="A96" s="201" t="s">
        <v>74</v>
      </c>
      <c r="B96" s="201"/>
      <c r="C96" s="201"/>
      <c r="D96" s="17">
        <f>C25</f>
        <v>0.378</v>
      </c>
    </row>
    <row r="97" spans="1:4" ht="15" customHeight="1" x14ac:dyDescent="0.35">
      <c r="A97" s="203" t="s">
        <v>29</v>
      </c>
      <c r="B97" s="203"/>
      <c r="C97" s="203"/>
      <c r="D97" s="43">
        <f>C37</f>
        <v>0.23483000000000001</v>
      </c>
    </row>
    <row r="98" spans="1:4" ht="15" customHeight="1" x14ac:dyDescent="0.35">
      <c r="A98" s="201" t="s">
        <v>34</v>
      </c>
      <c r="B98" s="201"/>
      <c r="C98" s="201"/>
      <c r="D98" s="17">
        <f>C43</f>
        <v>3.7839999999999999E-2</v>
      </c>
    </row>
    <row r="99" spans="1:4" ht="15" customHeight="1" x14ac:dyDescent="0.35">
      <c r="A99" s="203" t="s">
        <v>37</v>
      </c>
      <c r="B99" s="203"/>
      <c r="C99" s="203"/>
      <c r="D99" s="43">
        <f>C47</f>
        <v>8.8770000000000002E-2</v>
      </c>
    </row>
    <row r="100" spans="1:4" ht="15" customHeight="1" x14ac:dyDescent="0.35">
      <c r="A100" s="201" t="s">
        <v>40</v>
      </c>
      <c r="B100" s="201"/>
      <c r="C100" s="201"/>
      <c r="D100" s="17">
        <f>C51</f>
        <v>3.3E-4</v>
      </c>
    </row>
    <row r="101" spans="1:4" ht="15" customHeight="1" x14ac:dyDescent="0.35">
      <c r="A101" s="203" t="s">
        <v>43</v>
      </c>
      <c r="B101" s="203"/>
      <c r="C101" s="203"/>
      <c r="D101" s="43">
        <f>C55</f>
        <v>2.7299999999999998E-3</v>
      </c>
    </row>
    <row r="102" spans="1:4" ht="15" customHeight="1" x14ac:dyDescent="0.35">
      <c r="A102" s="236" t="s">
        <v>75</v>
      </c>
      <c r="B102" s="236"/>
      <c r="C102" s="236"/>
      <c r="D102" s="28">
        <f>ROUND(SUM(D96:D101),5)</f>
        <v>0.74250000000000005</v>
      </c>
    </row>
    <row r="103" spans="1:4" ht="10" customHeight="1" x14ac:dyDescent="0.35"/>
    <row r="104" spans="1:4" x14ac:dyDescent="0.35">
      <c r="A104" s="207" t="s">
        <v>268</v>
      </c>
      <c r="B104" s="208"/>
      <c r="C104" s="90" t="s">
        <v>269</v>
      </c>
      <c r="D104" s="27" t="s">
        <v>6</v>
      </c>
    </row>
    <row r="105" spans="1:4" x14ac:dyDescent="0.35">
      <c r="A105" s="212" t="s">
        <v>270</v>
      </c>
      <c r="B105" s="213"/>
      <c r="C105" s="110">
        <f>D13</f>
        <v>3053.88</v>
      </c>
      <c r="D105" s="17">
        <f>ROUND(C105/$C$109,5)</f>
        <v>0.40411000000000002</v>
      </c>
    </row>
    <row r="106" spans="1:4" ht="24.5" customHeight="1" x14ac:dyDescent="0.35">
      <c r="A106" s="229" t="s">
        <v>271</v>
      </c>
      <c r="B106" s="230"/>
      <c r="C106" s="111">
        <f>D56</f>
        <v>2267.52</v>
      </c>
      <c r="D106" s="43">
        <f>ROUND(C106/$C$109,5)</f>
        <v>0.30004999999999998</v>
      </c>
    </row>
    <row r="107" spans="1:4" x14ac:dyDescent="0.35">
      <c r="A107" s="212" t="s">
        <v>272</v>
      </c>
      <c r="B107" s="213"/>
      <c r="C107" s="110">
        <f>D72</f>
        <v>681.52</v>
      </c>
      <c r="D107" s="17">
        <f>ROUND(C107/$C$109,5)</f>
        <v>9.0179999999999996E-2</v>
      </c>
    </row>
    <row r="108" spans="1:4" x14ac:dyDescent="0.35">
      <c r="A108" s="229" t="s">
        <v>273</v>
      </c>
      <c r="B108" s="230"/>
      <c r="C108" s="111">
        <f>ROUND(D80+D90,2)</f>
        <v>1554.12</v>
      </c>
      <c r="D108" s="43">
        <f>ROUND(C108/$C$109,5)</f>
        <v>0.20565</v>
      </c>
    </row>
    <row r="109" spans="1:4" x14ac:dyDescent="0.35">
      <c r="A109" s="231" t="s">
        <v>274</v>
      </c>
      <c r="B109" s="232"/>
      <c r="C109" s="112">
        <f>ROUND(SUM(C105:C108),2)</f>
        <v>7557.04</v>
      </c>
      <c r="D109" s="30">
        <f>ROUND(SUM(D105:D108),5)</f>
        <v>0.99999000000000005</v>
      </c>
    </row>
  </sheetData>
  <mergeCells count="92">
    <mergeCell ref="A106:B106"/>
    <mergeCell ref="A107:B107"/>
    <mergeCell ref="A108:B108"/>
    <mergeCell ref="A109:B109"/>
    <mergeCell ref="A69:B69"/>
    <mergeCell ref="A70:B70"/>
    <mergeCell ref="A71:B71"/>
    <mergeCell ref="A72:C72"/>
    <mergeCell ref="A74:C74"/>
    <mergeCell ref="A76:D76"/>
    <mergeCell ref="A84:B84"/>
    <mergeCell ref="A86:B86"/>
    <mergeCell ref="A101:C101"/>
    <mergeCell ref="A102:C102"/>
    <mergeCell ref="A77:B77"/>
    <mergeCell ref="A78:B78"/>
    <mergeCell ref="A22:B22"/>
    <mergeCell ref="A23:B23"/>
    <mergeCell ref="A24:B24"/>
    <mergeCell ref="A104:B104"/>
    <mergeCell ref="A105:B105"/>
    <mergeCell ref="A43:B43"/>
    <mergeCell ref="A45:B45"/>
    <mergeCell ref="A46:B46"/>
    <mergeCell ref="A47:B47"/>
    <mergeCell ref="A49:B49"/>
    <mergeCell ref="A37:B37"/>
    <mergeCell ref="A39:B39"/>
    <mergeCell ref="A31:B31"/>
    <mergeCell ref="A32:B32"/>
    <mergeCell ref="A33:B33"/>
    <mergeCell ref="A36:B36"/>
    <mergeCell ref="A1:D1"/>
    <mergeCell ref="B2:D2"/>
    <mergeCell ref="B3:D3"/>
    <mergeCell ref="B4:D4"/>
    <mergeCell ref="B5:D5"/>
    <mergeCell ref="B6:D6"/>
    <mergeCell ref="A19:B19"/>
    <mergeCell ref="A20:B20"/>
    <mergeCell ref="A21:B21"/>
    <mergeCell ref="A13:C13"/>
    <mergeCell ref="A15:D15"/>
    <mergeCell ref="A16:B16"/>
    <mergeCell ref="A17:B17"/>
    <mergeCell ref="A18:B18"/>
    <mergeCell ref="A8:D8"/>
    <mergeCell ref="A9:D9"/>
    <mergeCell ref="A10:B10"/>
    <mergeCell ref="A11:B11"/>
    <mergeCell ref="A12:B12"/>
    <mergeCell ref="A34:B34"/>
    <mergeCell ref="A35:B35"/>
    <mergeCell ref="A25:B25"/>
    <mergeCell ref="A27:B27"/>
    <mergeCell ref="A28:B28"/>
    <mergeCell ref="A29:B29"/>
    <mergeCell ref="A30:B30"/>
    <mergeCell ref="A50:B50"/>
    <mergeCell ref="A51:B51"/>
    <mergeCell ref="A40:B40"/>
    <mergeCell ref="A41:B41"/>
    <mergeCell ref="A42:B42"/>
    <mergeCell ref="A66:B66"/>
    <mergeCell ref="A67:B67"/>
    <mergeCell ref="A68:B68"/>
    <mergeCell ref="A53:B53"/>
    <mergeCell ref="A54:B54"/>
    <mergeCell ref="A55:B55"/>
    <mergeCell ref="A56:B56"/>
    <mergeCell ref="A58:C58"/>
    <mergeCell ref="A60:D60"/>
    <mergeCell ref="A61:B61"/>
    <mergeCell ref="A62:B62"/>
    <mergeCell ref="A63:B63"/>
    <mergeCell ref="A64:B64"/>
    <mergeCell ref="A65:B65"/>
    <mergeCell ref="A79:B79"/>
    <mergeCell ref="A80:B80"/>
    <mergeCell ref="A82:C82"/>
    <mergeCell ref="A100:C100"/>
    <mergeCell ref="A90:B90"/>
    <mergeCell ref="A92:C92"/>
    <mergeCell ref="A93:C93"/>
    <mergeCell ref="A95:C95"/>
    <mergeCell ref="A96:C96"/>
    <mergeCell ref="A97:C97"/>
    <mergeCell ref="A87:B87"/>
    <mergeCell ref="A88:B88"/>
    <mergeCell ref="A89:B89"/>
    <mergeCell ref="A98:C98"/>
    <mergeCell ref="A99:C99"/>
  </mergeCells>
  <pageMargins left="0.23622047244094491" right="0.23622047244094491" top="1.3385826771653544" bottom="0.74803149606299213" header="0.9055118110236221" footer="0.31496062992125984"/>
  <pageSetup fitToHeight="0" orientation="landscape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18659-89B3-4277-A2F3-95BAC04DADD8}">
  <sheetPr codeName="Planilha7">
    <pageSetUpPr fitToPage="1"/>
  </sheetPr>
  <dimension ref="A1:D109"/>
  <sheetViews>
    <sheetView view="pageBreakPreview" zoomScaleNormal="100" zoomScaleSheetLayoutView="100" workbookViewId="0">
      <selection activeCell="I5" sqref="I5"/>
    </sheetView>
  </sheetViews>
  <sheetFormatPr defaultRowHeight="14.5" x14ac:dyDescent="0.35"/>
  <cols>
    <col min="1" max="1" width="33.453125" customWidth="1"/>
    <col min="2" max="2" width="14.54296875" customWidth="1"/>
    <col min="3" max="3" width="10.81640625" customWidth="1"/>
    <col min="4" max="4" width="12.26953125" customWidth="1"/>
  </cols>
  <sheetData>
    <row r="1" spans="1:4" ht="25.5" customHeight="1" x14ac:dyDescent="0.35">
      <c r="A1" s="218" t="s">
        <v>0</v>
      </c>
      <c r="B1" s="218"/>
      <c r="C1" s="218"/>
      <c r="D1" s="218"/>
    </row>
    <row r="2" spans="1:4" ht="30.5" customHeight="1" x14ac:dyDescent="0.35">
      <c r="A2" s="23" t="s">
        <v>2</v>
      </c>
      <c r="B2" s="214" t="str">
        <f>'Quantidade de Cargo'!A5</f>
        <v>Analista Jurídico</v>
      </c>
      <c r="C2" s="215"/>
      <c r="D2" s="216"/>
    </row>
    <row r="3" spans="1:4" ht="15" customHeight="1" x14ac:dyDescent="0.35">
      <c r="A3" s="23" t="s">
        <v>61</v>
      </c>
      <c r="B3" s="219" t="str">
        <f>'Salario Base'!B8</f>
        <v>2410-05</v>
      </c>
      <c r="C3" s="220"/>
      <c r="D3" s="221"/>
    </row>
    <row r="4" spans="1:4" ht="15" customHeight="1" x14ac:dyDescent="0.35">
      <c r="A4" s="24" t="s">
        <v>1</v>
      </c>
      <c r="B4" s="214" t="s">
        <v>143</v>
      </c>
      <c r="C4" s="215"/>
      <c r="D4" s="216"/>
    </row>
    <row r="5" spans="1:4" ht="26" x14ac:dyDescent="0.35">
      <c r="A5" s="24" t="s">
        <v>3</v>
      </c>
      <c r="B5" s="222">
        <v>1</v>
      </c>
      <c r="C5" s="220"/>
      <c r="D5" s="221"/>
    </row>
    <row r="6" spans="1:4" ht="65.5" customHeight="1" x14ac:dyDescent="0.35">
      <c r="A6" s="24" t="s">
        <v>62</v>
      </c>
      <c r="B6" s="214" t="s">
        <v>275</v>
      </c>
      <c r="C6" s="215"/>
      <c r="D6" s="216"/>
    </row>
    <row r="7" spans="1:4" ht="15" customHeight="1" x14ac:dyDescent="0.35">
      <c r="A7" s="2"/>
      <c r="B7" s="16"/>
      <c r="C7" s="3"/>
      <c r="D7" s="3"/>
    </row>
    <row r="8" spans="1:4" x14ac:dyDescent="0.35">
      <c r="A8" s="223" t="s">
        <v>4</v>
      </c>
      <c r="B8" s="223"/>
      <c r="C8" s="223"/>
      <c r="D8" s="223"/>
    </row>
    <row r="9" spans="1:4" x14ac:dyDescent="0.35">
      <c r="A9" s="224" t="s">
        <v>70</v>
      </c>
      <c r="B9" s="225"/>
      <c r="C9" s="225"/>
      <c r="D9" s="226"/>
    </row>
    <row r="10" spans="1:4" x14ac:dyDescent="0.35">
      <c r="A10" s="227" t="s">
        <v>5</v>
      </c>
      <c r="B10" s="228"/>
      <c r="C10" s="90" t="s">
        <v>6</v>
      </c>
      <c r="D10" s="90" t="s">
        <v>7</v>
      </c>
    </row>
    <row r="11" spans="1:4" ht="40.5" customHeight="1" x14ac:dyDescent="0.35">
      <c r="A11" s="176" t="s">
        <v>8</v>
      </c>
      <c r="B11" s="178"/>
      <c r="C11" s="91" t="s">
        <v>60</v>
      </c>
      <c r="D11" s="4">
        <f>'Salario Base'!C8</f>
        <v>3268.45</v>
      </c>
    </row>
    <row r="12" spans="1:4" ht="15" customHeight="1" x14ac:dyDescent="0.35">
      <c r="A12" s="229" t="s">
        <v>66</v>
      </c>
      <c r="B12" s="230"/>
      <c r="C12" s="53"/>
      <c r="D12" s="42">
        <f>C12*D11/100</f>
        <v>0</v>
      </c>
    </row>
    <row r="13" spans="1:4" x14ac:dyDescent="0.35">
      <c r="A13" s="217" t="s">
        <v>20</v>
      </c>
      <c r="B13" s="217"/>
      <c r="C13" s="217"/>
      <c r="D13" s="29">
        <f>ROUND(SUM(D11:D12),2)</f>
        <v>3268.45</v>
      </c>
    </row>
    <row r="14" spans="1:4" x14ac:dyDescent="0.35">
      <c r="A14" s="3"/>
      <c r="B14" s="3"/>
      <c r="C14" s="3"/>
      <c r="D14" s="3"/>
    </row>
    <row r="15" spans="1:4" x14ac:dyDescent="0.35">
      <c r="A15" s="202" t="s">
        <v>71</v>
      </c>
      <c r="B15" s="202"/>
      <c r="C15" s="202"/>
      <c r="D15" s="202"/>
    </row>
    <row r="16" spans="1:4" x14ac:dyDescent="0.35">
      <c r="A16" s="202" t="s">
        <v>10</v>
      </c>
      <c r="B16" s="202"/>
      <c r="C16" s="90" t="s">
        <v>6</v>
      </c>
      <c r="D16" s="90" t="s">
        <v>7</v>
      </c>
    </row>
    <row r="17" spans="1:4" x14ac:dyDescent="0.35">
      <c r="A17" s="176" t="s">
        <v>11</v>
      </c>
      <c r="B17" s="178"/>
      <c r="C17" s="11">
        <v>0.2</v>
      </c>
      <c r="D17" s="5">
        <f>ROUND($D$13*C17,2)</f>
        <v>653.69000000000005</v>
      </c>
    </row>
    <row r="18" spans="1:4" x14ac:dyDescent="0.35">
      <c r="A18" s="196" t="s">
        <v>12</v>
      </c>
      <c r="B18" s="197"/>
      <c r="C18" s="52">
        <v>0.08</v>
      </c>
      <c r="D18" s="42">
        <f t="shared" ref="D18:D24" si="0">ROUND($D$13*C18,2)</f>
        <v>261.48</v>
      </c>
    </row>
    <row r="19" spans="1:4" x14ac:dyDescent="0.35">
      <c r="A19" s="176" t="s">
        <v>13</v>
      </c>
      <c r="B19" s="178"/>
      <c r="C19" s="11">
        <v>1.4999999999999999E-2</v>
      </c>
      <c r="D19" s="5">
        <f t="shared" si="0"/>
        <v>49.03</v>
      </c>
    </row>
    <row r="20" spans="1:4" ht="25.5" customHeight="1" x14ac:dyDescent="0.35">
      <c r="A20" s="196" t="s">
        <v>14</v>
      </c>
      <c r="B20" s="197"/>
      <c r="C20" s="52">
        <v>0.01</v>
      </c>
      <c r="D20" s="42">
        <f t="shared" si="0"/>
        <v>32.68</v>
      </c>
    </row>
    <row r="21" spans="1:4" ht="28.5" customHeight="1" x14ac:dyDescent="0.35">
      <c r="A21" s="176" t="s">
        <v>15</v>
      </c>
      <c r="B21" s="178"/>
      <c r="C21" s="11">
        <v>2E-3</v>
      </c>
      <c r="D21" s="5">
        <f t="shared" si="0"/>
        <v>6.54</v>
      </c>
    </row>
    <row r="22" spans="1:4" x14ac:dyDescent="0.35">
      <c r="A22" s="196" t="s">
        <v>16</v>
      </c>
      <c r="B22" s="197"/>
      <c r="C22" s="52">
        <v>6.0000000000000001E-3</v>
      </c>
      <c r="D22" s="42">
        <f t="shared" si="0"/>
        <v>19.61</v>
      </c>
    </row>
    <row r="23" spans="1:4" x14ac:dyDescent="0.35">
      <c r="A23" s="212" t="s">
        <v>17</v>
      </c>
      <c r="B23" s="213"/>
      <c r="C23" s="11">
        <v>2.5000000000000001E-2</v>
      </c>
      <c r="D23" s="5">
        <f t="shared" si="0"/>
        <v>81.709999999999994</v>
      </c>
    </row>
    <row r="24" spans="1:4" ht="39.75" customHeight="1" x14ac:dyDescent="0.35">
      <c r="A24" s="229" t="s">
        <v>18</v>
      </c>
      <c r="B24" s="230"/>
      <c r="C24" s="50">
        <v>0.02</v>
      </c>
      <c r="D24" s="42">
        <f t="shared" si="0"/>
        <v>65.37</v>
      </c>
    </row>
    <row r="25" spans="1:4" x14ac:dyDescent="0.35">
      <c r="A25" s="198" t="s">
        <v>19</v>
      </c>
      <c r="B25" s="199"/>
      <c r="C25" s="30">
        <f>ROUND(SUM(C17:C24),5)</f>
        <v>0.35799999999999998</v>
      </c>
      <c r="D25" s="29">
        <f>ROUND(SUM(D17:D24),2)</f>
        <v>1170.1099999999999</v>
      </c>
    </row>
    <row r="26" spans="1:4" x14ac:dyDescent="0.35">
      <c r="A26" s="20"/>
      <c r="B26" s="20"/>
      <c r="C26" s="6"/>
      <c r="D26" s="7"/>
    </row>
    <row r="27" spans="1:4" x14ac:dyDescent="0.35">
      <c r="A27" s="202" t="s">
        <v>21</v>
      </c>
      <c r="B27" s="202"/>
      <c r="C27" s="90" t="s">
        <v>6</v>
      </c>
      <c r="D27" s="90" t="s">
        <v>7</v>
      </c>
    </row>
    <row r="28" spans="1:4" ht="25" customHeight="1" x14ac:dyDescent="0.35">
      <c r="A28" s="212" t="s">
        <v>22</v>
      </c>
      <c r="B28" s="213"/>
      <c r="C28" s="9">
        <f>ROUND(1/12,5)</f>
        <v>8.3330000000000001E-2</v>
      </c>
      <c r="D28" s="5">
        <f>ROUND($D$13*C28,2)</f>
        <v>272.36</v>
      </c>
    </row>
    <row r="29" spans="1:4" ht="25" customHeight="1" x14ac:dyDescent="0.35">
      <c r="A29" s="196" t="s">
        <v>263</v>
      </c>
      <c r="B29" s="197"/>
      <c r="C29" s="51">
        <f>ROUND((1/3)/12,5)</f>
        <v>2.7779999999999999E-2</v>
      </c>
      <c r="D29" s="42">
        <f t="shared" ref="D29:D36" si="1">ROUND($D$13*C29,2)</f>
        <v>90.8</v>
      </c>
    </row>
    <row r="30" spans="1:4" ht="25" customHeight="1" x14ac:dyDescent="0.35">
      <c r="A30" s="176" t="s">
        <v>23</v>
      </c>
      <c r="B30" s="178"/>
      <c r="C30" s="10">
        <f>ROUND((((100% / 30) * 7) / 12),5)</f>
        <v>1.9439999999999999E-2</v>
      </c>
      <c r="D30" s="5">
        <f t="shared" si="1"/>
        <v>63.54</v>
      </c>
    </row>
    <row r="31" spans="1:4" ht="25" customHeight="1" x14ac:dyDescent="0.35">
      <c r="A31" s="196" t="s">
        <v>24</v>
      </c>
      <c r="B31" s="197"/>
      <c r="C31" s="51">
        <f>ROUND((5/30)/12,5)</f>
        <v>1.389E-2</v>
      </c>
      <c r="D31" s="42">
        <f t="shared" si="1"/>
        <v>45.4</v>
      </c>
    </row>
    <row r="32" spans="1:4" ht="25" customHeight="1" x14ac:dyDescent="0.35">
      <c r="A32" s="176" t="s">
        <v>25</v>
      </c>
      <c r="B32" s="178"/>
      <c r="C32" s="10">
        <f>ROUND(((15/30/12)*0.08),5)</f>
        <v>3.3300000000000001E-3</v>
      </c>
      <c r="D32" s="5">
        <f t="shared" si="1"/>
        <v>10.88</v>
      </c>
    </row>
    <row r="33" spans="1:4" ht="25" customHeight="1" x14ac:dyDescent="0.35">
      <c r="A33" s="196" t="s">
        <v>26</v>
      </c>
      <c r="B33" s="197"/>
      <c r="C33" s="51">
        <f>ROUND((1/30)/12,5)</f>
        <v>2.7799999999999999E-3</v>
      </c>
      <c r="D33" s="42">
        <f t="shared" si="1"/>
        <v>9.09</v>
      </c>
    </row>
    <row r="34" spans="1:4" ht="25" customHeight="1" x14ac:dyDescent="0.35">
      <c r="A34" s="176" t="s">
        <v>27</v>
      </c>
      <c r="B34" s="178"/>
      <c r="C34" s="10">
        <f>ROUND(0.1111*0.02*0.333,5)</f>
        <v>7.3999999999999999E-4</v>
      </c>
      <c r="D34" s="5">
        <f t="shared" si="1"/>
        <v>2.42</v>
      </c>
    </row>
    <row r="35" spans="1:4" ht="25" customHeight="1" x14ac:dyDescent="0.35">
      <c r="A35" s="196" t="s">
        <v>28</v>
      </c>
      <c r="B35" s="197"/>
      <c r="C35" s="51">
        <f>ROUND(((5/30)/12)*0.015,5)</f>
        <v>2.1000000000000001E-4</v>
      </c>
      <c r="D35" s="42">
        <f t="shared" si="1"/>
        <v>0.69</v>
      </c>
    </row>
    <row r="36" spans="1:4" ht="25" customHeight="1" x14ac:dyDescent="0.35">
      <c r="A36" s="176" t="s">
        <v>264</v>
      </c>
      <c r="B36" s="178"/>
      <c r="C36" s="10">
        <f>ROUND(1/12,5)</f>
        <v>8.3330000000000001E-2</v>
      </c>
      <c r="D36" s="5">
        <f t="shared" si="1"/>
        <v>272.36</v>
      </c>
    </row>
    <row r="37" spans="1:4" x14ac:dyDescent="0.35">
      <c r="A37" s="198" t="s">
        <v>29</v>
      </c>
      <c r="B37" s="199"/>
      <c r="C37" s="30">
        <f>ROUND(SUM(C28:C36),5)</f>
        <v>0.23483000000000001</v>
      </c>
      <c r="D37" s="29">
        <f>ROUND(SUM(D28:D36),2)</f>
        <v>767.54</v>
      </c>
    </row>
    <row r="38" spans="1:4" x14ac:dyDescent="0.35">
      <c r="A38" s="20"/>
      <c r="B38" s="20"/>
      <c r="C38" s="8"/>
      <c r="D38" s="7"/>
    </row>
    <row r="39" spans="1:4" x14ac:dyDescent="0.35">
      <c r="A39" s="207" t="s">
        <v>30</v>
      </c>
      <c r="B39" s="208"/>
      <c r="C39" s="90" t="s">
        <v>6</v>
      </c>
      <c r="D39" s="90" t="s">
        <v>7</v>
      </c>
    </row>
    <row r="40" spans="1:4" ht="25" customHeight="1" x14ac:dyDescent="0.35">
      <c r="A40" s="210" t="s">
        <v>31</v>
      </c>
      <c r="B40" s="211"/>
      <c r="C40" s="12">
        <f>ROUND(1/12*5%,5)</f>
        <v>4.1700000000000001E-3</v>
      </c>
      <c r="D40" s="54">
        <f>ROUND($D$13*C40,2)</f>
        <v>13.63</v>
      </c>
    </row>
    <row r="41" spans="1:4" ht="25" customHeight="1" x14ac:dyDescent="0.35">
      <c r="A41" s="196" t="s">
        <v>32</v>
      </c>
      <c r="B41" s="197"/>
      <c r="C41" s="50">
        <f>ROUND(0.02*(1/12),5)</f>
        <v>1.67E-3</v>
      </c>
      <c r="D41" s="42">
        <f>ROUND($D$13*C41,2)</f>
        <v>5.46</v>
      </c>
    </row>
    <row r="42" spans="1:4" ht="25" customHeight="1" x14ac:dyDescent="0.35">
      <c r="A42" s="210" t="s">
        <v>33</v>
      </c>
      <c r="B42" s="211"/>
      <c r="C42" s="15">
        <f>ROUND(40%*8%,5)</f>
        <v>3.2000000000000001E-2</v>
      </c>
      <c r="D42" s="54">
        <f>ROUND($D$13*C42,2)</f>
        <v>104.59</v>
      </c>
    </row>
    <row r="43" spans="1:4" x14ac:dyDescent="0.35">
      <c r="A43" s="198" t="s">
        <v>34</v>
      </c>
      <c r="B43" s="199"/>
      <c r="C43" s="30">
        <f>ROUND(SUM(C40:C42),5)</f>
        <v>3.7839999999999999E-2</v>
      </c>
      <c r="D43" s="29">
        <f>ROUND(SUM(D40:D42),2)</f>
        <v>123.68</v>
      </c>
    </row>
    <row r="44" spans="1:4" x14ac:dyDescent="0.35">
      <c r="A44" s="20"/>
      <c r="B44" s="20"/>
      <c r="C44" s="8"/>
      <c r="D44" s="7"/>
    </row>
    <row r="45" spans="1:4" x14ac:dyDescent="0.35">
      <c r="A45" s="207" t="s">
        <v>35</v>
      </c>
      <c r="B45" s="208"/>
      <c r="C45" s="90" t="s">
        <v>6</v>
      </c>
      <c r="D45" s="90" t="s">
        <v>7</v>
      </c>
    </row>
    <row r="46" spans="1:4" ht="29" customHeight="1" x14ac:dyDescent="0.35">
      <c r="A46" s="176" t="s">
        <v>36</v>
      </c>
      <c r="B46" s="178"/>
      <c r="C46" s="14">
        <f>ROUND(C25*C37,5)</f>
        <v>8.4070000000000006E-2</v>
      </c>
      <c r="D46" s="5">
        <f>ROUND($D$13*C46,2)</f>
        <v>274.77999999999997</v>
      </c>
    </row>
    <row r="47" spans="1:4" x14ac:dyDescent="0.35">
      <c r="A47" s="198" t="s">
        <v>37</v>
      </c>
      <c r="B47" s="199"/>
      <c r="C47" s="30">
        <f>ROUND(SUM(C46),5)</f>
        <v>8.4070000000000006E-2</v>
      </c>
      <c r="D47" s="29">
        <f>ROUND(SUM(D46),2)</f>
        <v>274.77999999999997</v>
      </c>
    </row>
    <row r="48" spans="1:4" x14ac:dyDescent="0.35">
      <c r="A48" s="20"/>
      <c r="B48" s="20"/>
      <c r="C48" s="8"/>
      <c r="D48" s="7"/>
    </row>
    <row r="49" spans="1:4" x14ac:dyDescent="0.35">
      <c r="A49" s="207" t="s">
        <v>38</v>
      </c>
      <c r="B49" s="208"/>
      <c r="C49" s="90" t="s">
        <v>6</v>
      </c>
      <c r="D49" s="90" t="s">
        <v>7</v>
      </c>
    </row>
    <row r="50" spans="1:4" ht="65.5" customHeight="1" x14ac:dyDescent="0.35">
      <c r="A50" s="176" t="s">
        <v>39</v>
      </c>
      <c r="B50" s="178"/>
      <c r="C50" s="15">
        <f>ROUND(8%*C40,5)</f>
        <v>3.3E-4</v>
      </c>
      <c r="D50" s="5">
        <f>ROUND($D$13*C50,2)</f>
        <v>1.08</v>
      </c>
    </row>
    <row r="51" spans="1:4" x14ac:dyDescent="0.35">
      <c r="A51" s="198" t="s">
        <v>40</v>
      </c>
      <c r="B51" s="199"/>
      <c r="C51" s="30">
        <f>ROUND(SUM(C50:C50),5)</f>
        <v>3.3E-4</v>
      </c>
      <c r="D51" s="29">
        <f>ROUND(SUM(D50:D50),2)</f>
        <v>1.08</v>
      </c>
    </row>
    <row r="52" spans="1:4" x14ac:dyDescent="0.35">
      <c r="A52" s="20"/>
      <c r="B52" s="20"/>
      <c r="C52" s="8"/>
      <c r="D52" s="7"/>
    </row>
    <row r="53" spans="1:4" x14ac:dyDescent="0.35">
      <c r="A53" s="207" t="s">
        <v>41</v>
      </c>
      <c r="B53" s="208"/>
      <c r="C53" s="90" t="s">
        <v>6</v>
      </c>
      <c r="D53" s="90" t="s">
        <v>7</v>
      </c>
    </row>
    <row r="54" spans="1:4" ht="115.5" customHeight="1" x14ac:dyDescent="0.35">
      <c r="A54" s="176" t="s">
        <v>42</v>
      </c>
      <c r="B54" s="178"/>
      <c r="C54" s="14">
        <f>ROUND(C25*(13/12)*(4/12)*2/100,5)</f>
        <v>2.5899999999999999E-3</v>
      </c>
      <c r="D54" s="5">
        <f>ROUND($D$13*C54,2)</f>
        <v>8.4700000000000006</v>
      </c>
    </row>
    <row r="55" spans="1:4" x14ac:dyDescent="0.35">
      <c r="A55" s="198" t="s">
        <v>43</v>
      </c>
      <c r="B55" s="199"/>
      <c r="C55" s="30">
        <f>ROUND(SUM(C54),5)</f>
        <v>2.5899999999999999E-3</v>
      </c>
      <c r="D55" s="29">
        <f>ROUND(SUM(D54),2)</f>
        <v>8.4700000000000006</v>
      </c>
    </row>
    <row r="56" spans="1:4" x14ac:dyDescent="0.35">
      <c r="A56" s="198" t="s">
        <v>44</v>
      </c>
      <c r="B56" s="199"/>
      <c r="C56" s="30">
        <f>ROUND(C25+C37+C43+C47+C51+C55,5)</f>
        <v>0.71765999999999996</v>
      </c>
      <c r="D56" s="29">
        <f>ROUND(D25+D37+D43+D47+D51+D55,2)</f>
        <v>2345.66</v>
      </c>
    </row>
    <row r="57" spans="1:4" ht="15" customHeight="1" x14ac:dyDescent="0.35">
      <c r="A57" s="20"/>
      <c r="B57" s="20"/>
      <c r="C57" s="8"/>
      <c r="D57" s="7"/>
    </row>
    <row r="58" spans="1:4" ht="15" customHeight="1" x14ac:dyDescent="0.35">
      <c r="A58" s="198" t="s">
        <v>45</v>
      </c>
      <c r="B58" s="200"/>
      <c r="C58" s="199"/>
      <c r="D58" s="29">
        <f>D13+D56</f>
        <v>5614.11</v>
      </c>
    </row>
    <row r="59" spans="1:4" ht="15" customHeight="1" x14ac:dyDescent="0.35">
      <c r="A59" s="3"/>
      <c r="B59" s="3"/>
      <c r="C59" s="3"/>
      <c r="D59" s="3"/>
    </row>
    <row r="60" spans="1:4" ht="15" customHeight="1" x14ac:dyDescent="0.35">
      <c r="A60" s="202" t="s">
        <v>72</v>
      </c>
      <c r="B60" s="202"/>
      <c r="C60" s="202"/>
      <c r="D60" s="202"/>
    </row>
    <row r="61" spans="1:4" x14ac:dyDescent="0.35">
      <c r="A61" s="202" t="s">
        <v>46</v>
      </c>
      <c r="B61" s="202"/>
      <c r="C61" s="90" t="s">
        <v>218</v>
      </c>
      <c r="D61" s="92" t="s">
        <v>7</v>
      </c>
    </row>
    <row r="62" spans="1:4" ht="96" customHeight="1" x14ac:dyDescent="0.35">
      <c r="A62" s="206" t="s">
        <v>91</v>
      </c>
      <c r="B62" s="206"/>
      <c r="C62" s="33">
        <v>15</v>
      </c>
      <c r="D62" s="33">
        <f>ROUND(C62*22,2)</f>
        <v>330</v>
      </c>
    </row>
    <row r="63" spans="1:4" ht="53.5" customHeight="1" x14ac:dyDescent="0.35">
      <c r="A63" s="209" t="s">
        <v>92</v>
      </c>
      <c r="B63" s="209"/>
      <c r="C63" s="101">
        <v>0.1</v>
      </c>
      <c r="D63" s="49">
        <f>ROUND(D62*C63,2)*-1</f>
        <v>-33</v>
      </c>
    </row>
    <row r="64" spans="1:4" ht="29.5" customHeight="1" x14ac:dyDescent="0.35">
      <c r="A64" s="206" t="s">
        <v>78</v>
      </c>
      <c r="B64" s="206"/>
      <c r="C64" s="33">
        <v>100</v>
      </c>
      <c r="D64" s="33">
        <f>C64</f>
        <v>100</v>
      </c>
    </row>
    <row r="65" spans="1:4" ht="102.5" customHeight="1" x14ac:dyDescent="0.35">
      <c r="A65" s="205" t="s">
        <v>93</v>
      </c>
      <c r="B65" s="205"/>
      <c r="C65" s="102">
        <v>3.8</v>
      </c>
      <c r="D65" s="47">
        <f>ROUND(C65*2*22,2)</f>
        <v>167.2</v>
      </c>
    </row>
    <row r="66" spans="1:4" ht="62" customHeight="1" x14ac:dyDescent="0.35">
      <c r="A66" s="204" t="s">
        <v>94</v>
      </c>
      <c r="B66" s="204"/>
      <c r="C66" s="103">
        <v>0.06</v>
      </c>
      <c r="D66" s="34" t="str">
        <f>IF(D11*C66&gt;D65,"-",ROUND(D11*C66,2)*-1)</f>
        <v>-</v>
      </c>
    </row>
    <row r="67" spans="1:4" ht="29.5" customHeight="1" x14ac:dyDescent="0.35">
      <c r="A67" s="205" t="s">
        <v>79</v>
      </c>
      <c r="B67" s="205"/>
      <c r="C67" s="102">
        <v>15</v>
      </c>
      <c r="D67" s="47">
        <f>C67</f>
        <v>15</v>
      </c>
    </row>
    <row r="68" spans="1:4" ht="44.5" customHeight="1" x14ac:dyDescent="0.35">
      <c r="A68" s="206" t="s">
        <v>219</v>
      </c>
      <c r="B68" s="206"/>
      <c r="C68" s="104">
        <v>10</v>
      </c>
      <c r="D68" s="33">
        <f>C68</f>
        <v>10</v>
      </c>
    </row>
    <row r="69" spans="1:4" ht="29.5" customHeight="1" x14ac:dyDescent="0.35">
      <c r="A69" s="205" t="s">
        <v>95</v>
      </c>
      <c r="B69" s="205"/>
      <c r="C69" s="102">
        <v>10</v>
      </c>
      <c r="D69" s="47">
        <f>C69</f>
        <v>10</v>
      </c>
    </row>
    <row r="70" spans="1:4" ht="25.5" customHeight="1" x14ac:dyDescent="0.35">
      <c r="A70" s="206" t="s">
        <v>47</v>
      </c>
      <c r="B70" s="206"/>
      <c r="C70" s="60" t="s">
        <v>60</v>
      </c>
      <c r="D70" s="33">
        <f>'Uniforme Tipo II'!F18</f>
        <v>186.21</v>
      </c>
    </row>
    <row r="71" spans="1:4" ht="25.5" customHeight="1" x14ac:dyDescent="0.35">
      <c r="A71" s="233" t="s">
        <v>265</v>
      </c>
      <c r="B71" s="234"/>
      <c r="C71" s="61" t="s">
        <v>60</v>
      </c>
      <c r="D71" s="45">
        <f>'Manutenção Equip.'!F7</f>
        <v>22.3</v>
      </c>
    </row>
    <row r="72" spans="1:4" ht="15" customHeight="1" x14ac:dyDescent="0.35">
      <c r="A72" s="217" t="s">
        <v>48</v>
      </c>
      <c r="B72" s="217"/>
      <c r="C72" s="217"/>
      <c r="D72" s="29">
        <f>ROUND(SUM(D62:D70),2)</f>
        <v>785.41</v>
      </c>
    </row>
    <row r="73" spans="1:4" x14ac:dyDescent="0.35">
      <c r="A73" s="20"/>
      <c r="B73" s="20"/>
      <c r="C73" s="20"/>
      <c r="D73" s="7"/>
    </row>
    <row r="74" spans="1:4" ht="30" customHeight="1" x14ac:dyDescent="0.35">
      <c r="A74" s="198" t="s">
        <v>49</v>
      </c>
      <c r="B74" s="200"/>
      <c r="C74" s="199"/>
      <c r="D74" s="29">
        <f>ROUND(D58+D72,2)</f>
        <v>6399.52</v>
      </c>
    </row>
    <row r="75" spans="1:4" x14ac:dyDescent="0.35">
      <c r="A75" s="20"/>
      <c r="B75" s="20"/>
      <c r="C75" s="20"/>
      <c r="D75" s="7"/>
    </row>
    <row r="76" spans="1:4" x14ac:dyDescent="0.35">
      <c r="A76" s="202" t="s">
        <v>88</v>
      </c>
      <c r="B76" s="202"/>
      <c r="C76" s="202"/>
      <c r="D76" s="202"/>
    </row>
    <row r="77" spans="1:4" x14ac:dyDescent="0.35">
      <c r="A77" s="207" t="s">
        <v>50</v>
      </c>
      <c r="B77" s="208"/>
      <c r="C77" s="90" t="s">
        <v>6</v>
      </c>
      <c r="D77" s="90" t="s">
        <v>7</v>
      </c>
    </row>
    <row r="78" spans="1:4" s="1" customFormat="1" ht="30" customHeight="1" x14ac:dyDescent="0.3">
      <c r="A78" s="176" t="s">
        <v>51</v>
      </c>
      <c r="B78" s="178"/>
      <c r="C78" s="13">
        <v>0.05</v>
      </c>
      <c r="D78" s="18">
        <f>ROUND(D74*C78,2)</f>
        <v>319.98</v>
      </c>
    </row>
    <row r="79" spans="1:4" s="1" customFormat="1" ht="30" customHeight="1" x14ac:dyDescent="0.3">
      <c r="A79" s="196" t="s">
        <v>9</v>
      </c>
      <c r="B79" s="197"/>
      <c r="C79" s="41">
        <v>0.1</v>
      </c>
      <c r="D79" s="44">
        <f>ROUND(D74*C79,2)</f>
        <v>639.95000000000005</v>
      </c>
    </row>
    <row r="80" spans="1:4" x14ac:dyDescent="0.35">
      <c r="A80" s="198" t="s">
        <v>52</v>
      </c>
      <c r="B80" s="199"/>
      <c r="C80" s="31">
        <f>ROUND(SUM(C78:C79),5)</f>
        <v>0.15</v>
      </c>
      <c r="D80" s="29">
        <f>SUM(D78:D79)</f>
        <v>959.93000000000006</v>
      </c>
    </row>
    <row r="81" spans="1:4" x14ac:dyDescent="0.35">
      <c r="A81" s="20"/>
      <c r="B81" s="20"/>
      <c r="C81" s="6"/>
      <c r="D81" s="7"/>
    </row>
    <row r="82" spans="1:4" ht="30" customHeight="1" x14ac:dyDescent="0.35">
      <c r="A82" s="198" t="s">
        <v>73</v>
      </c>
      <c r="B82" s="200"/>
      <c r="C82" s="199"/>
      <c r="D82" s="29">
        <f>ROUND(D74+D80,2)</f>
        <v>7359.45</v>
      </c>
    </row>
    <row r="83" spans="1:4" x14ac:dyDescent="0.35">
      <c r="A83" s="20"/>
      <c r="B83" s="20"/>
      <c r="C83" s="20"/>
      <c r="D83" s="7"/>
    </row>
    <row r="84" spans="1:4" ht="35.25" customHeight="1" x14ac:dyDescent="0.35">
      <c r="A84" s="235" t="s">
        <v>63</v>
      </c>
      <c r="B84" s="235"/>
      <c r="C84" s="30">
        <f>ROUND(1-(SUM(C87:C89)/1),5)</f>
        <v>0.91349999999999998</v>
      </c>
      <c r="D84" s="29">
        <f>ROUND(D82/C84,2)</f>
        <v>8056.32</v>
      </c>
    </row>
    <row r="85" spans="1:4" x14ac:dyDescent="0.35">
      <c r="A85" s="3"/>
      <c r="B85" s="3"/>
      <c r="C85" s="3"/>
      <c r="D85" s="3"/>
    </row>
    <row r="86" spans="1:4" x14ac:dyDescent="0.35">
      <c r="A86" s="207" t="s">
        <v>53</v>
      </c>
      <c r="B86" s="208"/>
      <c r="C86" s="90" t="s">
        <v>6</v>
      </c>
      <c r="D86" s="90" t="s">
        <v>7</v>
      </c>
    </row>
    <row r="87" spans="1:4" ht="22" customHeight="1" x14ac:dyDescent="0.35">
      <c r="A87" s="176" t="s">
        <v>54</v>
      </c>
      <c r="B87" s="178"/>
      <c r="C87" s="13">
        <v>0.05</v>
      </c>
      <c r="D87" s="5">
        <f>ROUND($D$84*C87,2)</f>
        <v>402.82</v>
      </c>
    </row>
    <row r="88" spans="1:4" ht="22" customHeight="1" x14ac:dyDescent="0.35">
      <c r="A88" s="196" t="s">
        <v>55</v>
      </c>
      <c r="B88" s="197"/>
      <c r="C88" s="41">
        <v>0.03</v>
      </c>
      <c r="D88" s="42">
        <f>ROUND($D$84*C88,2)</f>
        <v>241.69</v>
      </c>
    </row>
    <row r="89" spans="1:4" ht="22" customHeight="1" x14ac:dyDescent="0.35">
      <c r="A89" s="176" t="s">
        <v>56</v>
      </c>
      <c r="B89" s="178"/>
      <c r="C89" s="13">
        <v>6.4999999999999997E-3</v>
      </c>
      <c r="D89" s="5">
        <f>ROUND($D$84*C89,2)</f>
        <v>52.37</v>
      </c>
    </row>
    <row r="90" spans="1:4" x14ac:dyDescent="0.35">
      <c r="A90" s="198" t="s">
        <v>57</v>
      </c>
      <c r="B90" s="199"/>
      <c r="C90" s="30">
        <f>ROUND(SUM(C87:C89),5)</f>
        <v>8.6499999999999994E-2</v>
      </c>
      <c r="D90" s="29">
        <f>ROUND(SUM(D87:D89),2)</f>
        <v>696.88</v>
      </c>
    </row>
    <row r="91" spans="1:4" ht="10" customHeight="1" x14ac:dyDescent="0.35">
      <c r="A91" s="3"/>
      <c r="B91" s="3"/>
      <c r="C91" s="3"/>
      <c r="D91" s="3"/>
    </row>
    <row r="92" spans="1:4" ht="25" customHeight="1" x14ac:dyDescent="0.35">
      <c r="A92" s="198" t="s">
        <v>58</v>
      </c>
      <c r="B92" s="200"/>
      <c r="C92" s="199"/>
      <c r="D92" s="29">
        <f>ROUND(D82+D90,2)</f>
        <v>8056.33</v>
      </c>
    </row>
    <row r="93" spans="1:4" ht="25" customHeight="1" x14ac:dyDescent="0.35">
      <c r="A93" s="198" t="s">
        <v>64</v>
      </c>
      <c r="B93" s="200"/>
      <c r="C93" s="199"/>
      <c r="D93" s="29">
        <f>ROUND(D92*12,2)</f>
        <v>96675.96</v>
      </c>
    </row>
    <row r="94" spans="1:4" ht="10" customHeight="1" x14ac:dyDescent="0.35">
      <c r="A94" s="20"/>
      <c r="B94" s="20"/>
      <c r="C94" s="20"/>
      <c r="D94" s="7"/>
    </row>
    <row r="95" spans="1:4" ht="15" customHeight="1" x14ac:dyDescent="0.35">
      <c r="A95" s="202" t="s">
        <v>59</v>
      </c>
      <c r="B95" s="202"/>
      <c r="C95" s="202"/>
      <c r="D95" s="27" t="s">
        <v>6</v>
      </c>
    </row>
    <row r="96" spans="1:4" ht="15" customHeight="1" x14ac:dyDescent="0.35">
      <c r="A96" s="201" t="s">
        <v>74</v>
      </c>
      <c r="B96" s="201"/>
      <c r="C96" s="201"/>
      <c r="D96" s="17">
        <f>C25</f>
        <v>0.35799999999999998</v>
      </c>
    </row>
    <row r="97" spans="1:4" ht="15" customHeight="1" x14ac:dyDescent="0.35">
      <c r="A97" s="203" t="s">
        <v>29</v>
      </c>
      <c r="B97" s="203"/>
      <c r="C97" s="203"/>
      <c r="D97" s="43">
        <f>C37</f>
        <v>0.23483000000000001</v>
      </c>
    </row>
    <row r="98" spans="1:4" ht="15" customHeight="1" x14ac:dyDescent="0.35">
      <c r="A98" s="201" t="s">
        <v>34</v>
      </c>
      <c r="B98" s="201"/>
      <c r="C98" s="201"/>
      <c r="D98" s="17">
        <f>C43</f>
        <v>3.7839999999999999E-2</v>
      </c>
    </row>
    <row r="99" spans="1:4" ht="15" customHeight="1" x14ac:dyDescent="0.35">
      <c r="A99" s="203" t="s">
        <v>37</v>
      </c>
      <c r="B99" s="203"/>
      <c r="C99" s="203"/>
      <c r="D99" s="43">
        <f>C47</f>
        <v>8.4070000000000006E-2</v>
      </c>
    </row>
    <row r="100" spans="1:4" ht="15" customHeight="1" x14ac:dyDescent="0.35">
      <c r="A100" s="201" t="s">
        <v>40</v>
      </c>
      <c r="B100" s="201"/>
      <c r="C100" s="201"/>
      <c r="D100" s="17">
        <f>C51</f>
        <v>3.3E-4</v>
      </c>
    </row>
    <row r="101" spans="1:4" ht="15" customHeight="1" x14ac:dyDescent="0.35">
      <c r="A101" s="203" t="s">
        <v>43</v>
      </c>
      <c r="B101" s="203"/>
      <c r="C101" s="203"/>
      <c r="D101" s="43">
        <f>C55</f>
        <v>2.5899999999999999E-3</v>
      </c>
    </row>
    <row r="102" spans="1:4" ht="15" customHeight="1" x14ac:dyDescent="0.35">
      <c r="A102" s="236" t="s">
        <v>75</v>
      </c>
      <c r="B102" s="236"/>
      <c r="C102" s="236"/>
      <c r="D102" s="28">
        <f>ROUND(SUM(D96:D101),5)</f>
        <v>0.71765999999999996</v>
      </c>
    </row>
    <row r="103" spans="1:4" ht="10" customHeight="1" x14ac:dyDescent="0.35"/>
    <row r="104" spans="1:4" x14ac:dyDescent="0.35">
      <c r="A104" s="207" t="s">
        <v>268</v>
      </c>
      <c r="B104" s="208"/>
      <c r="C104" s="90" t="s">
        <v>269</v>
      </c>
      <c r="D104" s="27" t="s">
        <v>6</v>
      </c>
    </row>
    <row r="105" spans="1:4" x14ac:dyDescent="0.35">
      <c r="A105" s="212" t="s">
        <v>270</v>
      </c>
      <c r="B105" s="213"/>
      <c r="C105" s="110">
        <f>D13</f>
        <v>3268.45</v>
      </c>
      <c r="D105" s="17">
        <f>ROUND(C105/$C$109,5)</f>
        <v>0.40570000000000001</v>
      </c>
    </row>
    <row r="106" spans="1:4" ht="24.5" customHeight="1" x14ac:dyDescent="0.35">
      <c r="A106" s="229" t="s">
        <v>271</v>
      </c>
      <c r="B106" s="230"/>
      <c r="C106" s="111">
        <f>D56</f>
        <v>2345.66</v>
      </c>
      <c r="D106" s="43">
        <f>ROUND(C106/$C$109,5)</f>
        <v>0.29115999999999997</v>
      </c>
    </row>
    <row r="107" spans="1:4" x14ac:dyDescent="0.35">
      <c r="A107" s="212" t="s">
        <v>272</v>
      </c>
      <c r="B107" s="213"/>
      <c r="C107" s="110">
        <f>D72</f>
        <v>785.41</v>
      </c>
      <c r="D107" s="17">
        <f>ROUND(C107/$C$109,5)</f>
        <v>9.7489999999999993E-2</v>
      </c>
    </row>
    <row r="108" spans="1:4" x14ac:dyDescent="0.35">
      <c r="A108" s="229" t="s">
        <v>273</v>
      </c>
      <c r="B108" s="230"/>
      <c r="C108" s="111">
        <f>ROUND(D80+D90,2)</f>
        <v>1656.81</v>
      </c>
      <c r="D108" s="43">
        <f>ROUND(C108/$C$109,5)</f>
        <v>0.20565</v>
      </c>
    </row>
    <row r="109" spans="1:4" x14ac:dyDescent="0.35">
      <c r="A109" s="231" t="s">
        <v>274</v>
      </c>
      <c r="B109" s="232"/>
      <c r="C109" s="112">
        <f>ROUND(SUM(C105:C108),2)</f>
        <v>8056.33</v>
      </c>
      <c r="D109" s="30">
        <f>ROUND(SUM(D105:D108),5)</f>
        <v>1</v>
      </c>
    </row>
  </sheetData>
  <mergeCells count="92">
    <mergeCell ref="A104:B104"/>
    <mergeCell ref="A98:C98"/>
    <mergeCell ref="A99:C99"/>
    <mergeCell ref="A100:C100"/>
    <mergeCell ref="A101:C101"/>
    <mergeCell ref="A102:C102"/>
    <mergeCell ref="A105:B105"/>
    <mergeCell ref="A106:B106"/>
    <mergeCell ref="A107:B107"/>
    <mergeCell ref="A108:B108"/>
    <mergeCell ref="A109:B109"/>
    <mergeCell ref="A97:C97"/>
    <mergeCell ref="A80:B80"/>
    <mergeCell ref="A82:C82"/>
    <mergeCell ref="A84:B84"/>
    <mergeCell ref="A86:B86"/>
    <mergeCell ref="A90:B90"/>
    <mergeCell ref="A92:C92"/>
    <mergeCell ref="A93:C93"/>
    <mergeCell ref="A95:C95"/>
    <mergeCell ref="A96:C96"/>
    <mergeCell ref="A87:B87"/>
    <mergeCell ref="A88:B88"/>
    <mergeCell ref="A89:B89"/>
    <mergeCell ref="A74:C74"/>
    <mergeCell ref="A76:D76"/>
    <mergeCell ref="A77:B77"/>
    <mergeCell ref="A78:B78"/>
    <mergeCell ref="A79:B79"/>
    <mergeCell ref="A68:B68"/>
    <mergeCell ref="A69:B69"/>
    <mergeCell ref="A70:B70"/>
    <mergeCell ref="A71:B71"/>
    <mergeCell ref="A72:C72"/>
    <mergeCell ref="A58:C58"/>
    <mergeCell ref="A46:B46"/>
    <mergeCell ref="A47:B47"/>
    <mergeCell ref="A49:B49"/>
    <mergeCell ref="A67:B67"/>
    <mergeCell ref="A60:D60"/>
    <mergeCell ref="A61:B61"/>
    <mergeCell ref="A62:B62"/>
    <mergeCell ref="A63:B63"/>
    <mergeCell ref="A64:B64"/>
    <mergeCell ref="A65:B65"/>
    <mergeCell ref="A66:B66"/>
    <mergeCell ref="A51:B51"/>
    <mergeCell ref="A53:B53"/>
    <mergeCell ref="A54:B54"/>
    <mergeCell ref="A55:B55"/>
    <mergeCell ref="A56:B56"/>
    <mergeCell ref="A31:B31"/>
    <mergeCell ref="A32:B32"/>
    <mergeCell ref="A33:B33"/>
    <mergeCell ref="A50:B50"/>
    <mergeCell ref="A40:B40"/>
    <mergeCell ref="A41:B41"/>
    <mergeCell ref="A42:B42"/>
    <mergeCell ref="A43:B43"/>
    <mergeCell ref="A45:B45"/>
    <mergeCell ref="A34:B34"/>
    <mergeCell ref="A35:B35"/>
    <mergeCell ref="A36:B36"/>
    <mergeCell ref="A37:B37"/>
    <mergeCell ref="A39:B39"/>
    <mergeCell ref="A25:B25"/>
    <mergeCell ref="A27:B27"/>
    <mergeCell ref="A28:B28"/>
    <mergeCell ref="A29:B29"/>
    <mergeCell ref="A30:B30"/>
    <mergeCell ref="A23:B23"/>
    <mergeCell ref="A24:B24"/>
    <mergeCell ref="A13:C13"/>
    <mergeCell ref="A15:D15"/>
    <mergeCell ref="A16:B16"/>
    <mergeCell ref="A17:B17"/>
    <mergeCell ref="A18:B18"/>
    <mergeCell ref="B6:D6"/>
    <mergeCell ref="A19:B19"/>
    <mergeCell ref="A20:B20"/>
    <mergeCell ref="A21:B21"/>
    <mergeCell ref="A22:B22"/>
    <mergeCell ref="A8:D8"/>
    <mergeCell ref="A9:D9"/>
    <mergeCell ref="A10:B10"/>
    <mergeCell ref="A11:B11"/>
    <mergeCell ref="A12:B12"/>
    <mergeCell ref="A1:D1"/>
    <mergeCell ref="B2:D2"/>
    <mergeCell ref="B3:D3"/>
    <mergeCell ref="B4:D4"/>
    <mergeCell ref="B5:D5"/>
  </mergeCells>
  <pageMargins left="0.23622047244094491" right="0.23622047244094491" top="1.3385826771653544" bottom="0.74803149606299213" header="0.9055118110236221" footer="0.31496062992125984"/>
  <pageSetup fitToHeight="0" orientation="landscape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DD23A-F3BD-4C14-B401-BB28AC1A60C5}">
  <sheetPr codeName="Planilha8">
    <pageSetUpPr fitToPage="1"/>
  </sheetPr>
  <dimension ref="A1:D109"/>
  <sheetViews>
    <sheetView tabSelected="1" view="pageBreakPreview" zoomScaleNormal="100" zoomScaleSheetLayoutView="100" workbookViewId="0">
      <selection activeCell="G6" sqref="G6"/>
    </sheetView>
  </sheetViews>
  <sheetFormatPr defaultRowHeight="14.5" x14ac:dyDescent="0.35"/>
  <cols>
    <col min="1" max="1" width="33.453125" customWidth="1"/>
    <col min="2" max="2" width="14.54296875" customWidth="1"/>
    <col min="3" max="3" width="10.81640625" customWidth="1"/>
    <col min="4" max="4" width="12.26953125" customWidth="1"/>
  </cols>
  <sheetData>
    <row r="1" spans="1:4" ht="27" customHeight="1" x14ac:dyDescent="0.35">
      <c r="A1" s="218" t="s">
        <v>0</v>
      </c>
      <c r="B1" s="218"/>
      <c r="C1" s="218"/>
      <c r="D1" s="218"/>
    </row>
    <row r="2" spans="1:4" ht="30.5" customHeight="1" x14ac:dyDescent="0.35">
      <c r="A2" s="23" t="s">
        <v>2</v>
      </c>
      <c r="B2" s="214" t="str">
        <f>'Quantidade de Cargo'!A6</f>
        <v>Arquivista</v>
      </c>
      <c r="C2" s="215"/>
      <c r="D2" s="216"/>
    </row>
    <row r="3" spans="1:4" ht="15" customHeight="1" x14ac:dyDescent="0.35">
      <c r="A3" s="23" t="s">
        <v>61</v>
      </c>
      <c r="B3" s="219" t="str">
        <f>'Salario Base'!B9</f>
        <v>2613-05</v>
      </c>
      <c r="C3" s="220"/>
      <c r="D3" s="221"/>
    </row>
    <row r="4" spans="1:4" ht="15" customHeight="1" x14ac:dyDescent="0.35">
      <c r="A4" s="24" t="s">
        <v>1</v>
      </c>
      <c r="B4" s="214" t="s">
        <v>143</v>
      </c>
      <c r="C4" s="215"/>
      <c r="D4" s="216"/>
    </row>
    <row r="5" spans="1:4" ht="26" x14ac:dyDescent="0.35">
      <c r="A5" s="24" t="s">
        <v>3</v>
      </c>
      <c r="B5" s="222">
        <v>1</v>
      </c>
      <c r="C5" s="220"/>
      <c r="D5" s="221"/>
    </row>
    <row r="6" spans="1:4" ht="65.5" customHeight="1" x14ac:dyDescent="0.35">
      <c r="A6" s="24" t="s">
        <v>62</v>
      </c>
      <c r="B6" s="214" t="s">
        <v>275</v>
      </c>
      <c r="C6" s="215"/>
      <c r="D6" s="216"/>
    </row>
    <row r="7" spans="1:4" ht="15" customHeight="1" x14ac:dyDescent="0.35">
      <c r="A7" s="2"/>
      <c r="B7" s="16"/>
      <c r="C7" s="3"/>
      <c r="D7" s="3"/>
    </row>
    <row r="8" spans="1:4" x14ac:dyDescent="0.35">
      <c r="A8" s="223" t="s">
        <v>4</v>
      </c>
      <c r="B8" s="223"/>
      <c r="C8" s="223"/>
      <c r="D8" s="223"/>
    </row>
    <row r="9" spans="1:4" x14ac:dyDescent="0.35">
      <c r="A9" s="224" t="s">
        <v>70</v>
      </c>
      <c r="B9" s="225"/>
      <c r="C9" s="225"/>
      <c r="D9" s="226"/>
    </row>
    <row r="10" spans="1:4" x14ac:dyDescent="0.35">
      <c r="A10" s="227" t="s">
        <v>5</v>
      </c>
      <c r="B10" s="228"/>
      <c r="C10" s="90" t="s">
        <v>6</v>
      </c>
      <c r="D10" s="90" t="s">
        <v>7</v>
      </c>
    </row>
    <row r="11" spans="1:4" ht="40.5" customHeight="1" x14ac:dyDescent="0.35">
      <c r="A11" s="176" t="s">
        <v>8</v>
      </c>
      <c r="B11" s="178"/>
      <c r="C11" s="91" t="s">
        <v>60</v>
      </c>
      <c r="D11" s="4">
        <f>'Salario Base'!C9</f>
        <v>2418.58</v>
      </c>
    </row>
    <row r="12" spans="1:4" ht="15" customHeight="1" x14ac:dyDescent="0.35">
      <c r="A12" s="229" t="s">
        <v>66</v>
      </c>
      <c r="B12" s="230"/>
      <c r="C12" s="53"/>
      <c r="D12" s="42">
        <f>C12*D11/100</f>
        <v>0</v>
      </c>
    </row>
    <row r="13" spans="1:4" x14ac:dyDescent="0.35">
      <c r="A13" s="217" t="s">
        <v>20</v>
      </c>
      <c r="B13" s="217"/>
      <c r="C13" s="217"/>
      <c r="D13" s="29">
        <f>ROUND(SUM(D11:D12),2)</f>
        <v>2418.58</v>
      </c>
    </row>
    <row r="14" spans="1:4" x14ac:dyDescent="0.35">
      <c r="A14" s="3"/>
      <c r="B14" s="3"/>
      <c r="C14" s="3"/>
      <c r="D14" s="3"/>
    </row>
    <row r="15" spans="1:4" x14ac:dyDescent="0.35">
      <c r="A15" s="202" t="s">
        <v>71</v>
      </c>
      <c r="B15" s="202"/>
      <c r="C15" s="202"/>
      <c r="D15" s="202"/>
    </row>
    <row r="16" spans="1:4" x14ac:dyDescent="0.35">
      <c r="A16" s="202" t="s">
        <v>10</v>
      </c>
      <c r="B16" s="202"/>
      <c r="C16" s="90" t="s">
        <v>6</v>
      </c>
      <c r="D16" s="90" t="s">
        <v>7</v>
      </c>
    </row>
    <row r="17" spans="1:4" x14ac:dyDescent="0.35">
      <c r="A17" s="176" t="s">
        <v>11</v>
      </c>
      <c r="B17" s="178"/>
      <c r="C17" s="11">
        <v>0.2</v>
      </c>
      <c r="D17" s="5">
        <f>ROUND($D$13*C17,2)</f>
        <v>483.72</v>
      </c>
    </row>
    <row r="18" spans="1:4" x14ac:dyDescent="0.35">
      <c r="A18" s="196" t="s">
        <v>12</v>
      </c>
      <c r="B18" s="197"/>
      <c r="C18" s="52">
        <v>0.08</v>
      </c>
      <c r="D18" s="42">
        <f t="shared" ref="D18:D24" si="0">ROUND($D$13*C18,2)</f>
        <v>193.49</v>
      </c>
    </row>
    <row r="19" spans="1:4" x14ac:dyDescent="0.35">
      <c r="A19" s="176" t="s">
        <v>13</v>
      </c>
      <c r="B19" s="178"/>
      <c r="C19" s="11">
        <v>1.4999999999999999E-2</v>
      </c>
      <c r="D19" s="5">
        <f t="shared" si="0"/>
        <v>36.28</v>
      </c>
    </row>
    <row r="20" spans="1:4" ht="25.5" customHeight="1" x14ac:dyDescent="0.35">
      <c r="A20" s="196" t="s">
        <v>14</v>
      </c>
      <c r="B20" s="197"/>
      <c r="C20" s="52">
        <v>0.01</v>
      </c>
      <c r="D20" s="42">
        <f t="shared" si="0"/>
        <v>24.19</v>
      </c>
    </row>
    <row r="21" spans="1:4" ht="28.5" customHeight="1" x14ac:dyDescent="0.35">
      <c r="A21" s="176" t="s">
        <v>15</v>
      </c>
      <c r="B21" s="178"/>
      <c r="C21" s="11">
        <v>2E-3</v>
      </c>
      <c r="D21" s="5">
        <f t="shared" si="0"/>
        <v>4.84</v>
      </c>
    </row>
    <row r="22" spans="1:4" x14ac:dyDescent="0.35">
      <c r="A22" s="196" t="s">
        <v>16</v>
      </c>
      <c r="B22" s="197"/>
      <c r="C22" s="52">
        <v>6.0000000000000001E-3</v>
      </c>
      <c r="D22" s="42">
        <f t="shared" si="0"/>
        <v>14.51</v>
      </c>
    </row>
    <row r="23" spans="1:4" x14ac:dyDescent="0.35">
      <c r="A23" s="212" t="s">
        <v>17</v>
      </c>
      <c r="B23" s="213"/>
      <c r="C23" s="11">
        <v>2.5000000000000001E-2</v>
      </c>
      <c r="D23" s="5">
        <f t="shared" si="0"/>
        <v>60.46</v>
      </c>
    </row>
    <row r="24" spans="1:4" ht="39.75" customHeight="1" x14ac:dyDescent="0.35">
      <c r="A24" s="229" t="s">
        <v>18</v>
      </c>
      <c r="B24" s="230"/>
      <c r="C24" s="50">
        <v>0.04</v>
      </c>
      <c r="D24" s="42">
        <f t="shared" si="0"/>
        <v>96.74</v>
      </c>
    </row>
    <row r="25" spans="1:4" x14ac:dyDescent="0.35">
      <c r="A25" s="198" t="s">
        <v>19</v>
      </c>
      <c r="B25" s="199"/>
      <c r="C25" s="30">
        <f>ROUND(SUM(C17:C24),5)</f>
        <v>0.378</v>
      </c>
      <c r="D25" s="29">
        <f>ROUND(SUM(D17:D24),2)</f>
        <v>914.23</v>
      </c>
    </row>
    <row r="26" spans="1:4" x14ac:dyDescent="0.35">
      <c r="A26" s="20"/>
      <c r="B26" s="20"/>
      <c r="C26" s="6"/>
      <c r="D26" s="7"/>
    </row>
    <row r="27" spans="1:4" x14ac:dyDescent="0.35">
      <c r="A27" s="202" t="s">
        <v>21</v>
      </c>
      <c r="B27" s="202"/>
      <c r="C27" s="90" t="s">
        <v>6</v>
      </c>
      <c r="D27" s="90" t="s">
        <v>7</v>
      </c>
    </row>
    <row r="28" spans="1:4" ht="25" customHeight="1" x14ac:dyDescent="0.35">
      <c r="A28" s="212" t="s">
        <v>22</v>
      </c>
      <c r="B28" s="213"/>
      <c r="C28" s="9">
        <f>ROUND(1/12,5)</f>
        <v>8.3330000000000001E-2</v>
      </c>
      <c r="D28" s="5">
        <f>ROUND($D$13*C28,2)</f>
        <v>201.54</v>
      </c>
    </row>
    <row r="29" spans="1:4" ht="25" customHeight="1" x14ac:dyDescent="0.35">
      <c r="A29" s="196" t="s">
        <v>263</v>
      </c>
      <c r="B29" s="197"/>
      <c r="C29" s="51">
        <f>ROUND((1/3)/12,5)</f>
        <v>2.7779999999999999E-2</v>
      </c>
      <c r="D29" s="42">
        <f t="shared" ref="D29:D36" si="1">ROUND($D$13*C29,2)</f>
        <v>67.19</v>
      </c>
    </row>
    <row r="30" spans="1:4" ht="25" customHeight="1" x14ac:dyDescent="0.35">
      <c r="A30" s="176" t="s">
        <v>23</v>
      </c>
      <c r="B30" s="178"/>
      <c r="C30" s="10">
        <f>ROUND((((100% / 30) * 7) / 12),5)</f>
        <v>1.9439999999999999E-2</v>
      </c>
      <c r="D30" s="5">
        <f t="shared" si="1"/>
        <v>47.02</v>
      </c>
    </row>
    <row r="31" spans="1:4" ht="25" customHeight="1" x14ac:dyDescent="0.35">
      <c r="A31" s="196" t="s">
        <v>24</v>
      </c>
      <c r="B31" s="197"/>
      <c r="C31" s="51">
        <f>ROUND((5/30)/12,5)</f>
        <v>1.389E-2</v>
      </c>
      <c r="D31" s="42">
        <f t="shared" si="1"/>
        <v>33.590000000000003</v>
      </c>
    </row>
    <row r="32" spans="1:4" ht="25" customHeight="1" x14ac:dyDescent="0.35">
      <c r="A32" s="176" t="s">
        <v>25</v>
      </c>
      <c r="B32" s="178"/>
      <c r="C32" s="10">
        <f>ROUND(((15/30/12)*0.08),5)</f>
        <v>3.3300000000000001E-3</v>
      </c>
      <c r="D32" s="5">
        <f t="shared" si="1"/>
        <v>8.0500000000000007</v>
      </c>
    </row>
    <row r="33" spans="1:4" ht="25" customHeight="1" x14ac:dyDescent="0.35">
      <c r="A33" s="196" t="s">
        <v>26</v>
      </c>
      <c r="B33" s="197"/>
      <c r="C33" s="51">
        <f>ROUND((1/30)/12,5)</f>
        <v>2.7799999999999999E-3</v>
      </c>
      <c r="D33" s="42">
        <f t="shared" si="1"/>
        <v>6.72</v>
      </c>
    </row>
    <row r="34" spans="1:4" ht="25" customHeight="1" x14ac:dyDescent="0.35">
      <c r="A34" s="176" t="s">
        <v>27</v>
      </c>
      <c r="B34" s="178"/>
      <c r="C34" s="10">
        <f>ROUND(0.1111*0.02*0.333,5)</f>
        <v>7.3999999999999999E-4</v>
      </c>
      <c r="D34" s="5">
        <f t="shared" si="1"/>
        <v>1.79</v>
      </c>
    </row>
    <row r="35" spans="1:4" ht="25" customHeight="1" x14ac:dyDescent="0.35">
      <c r="A35" s="196" t="s">
        <v>28</v>
      </c>
      <c r="B35" s="197"/>
      <c r="C35" s="51">
        <f>ROUND(((5/30)/12)*0.015,5)</f>
        <v>2.1000000000000001E-4</v>
      </c>
      <c r="D35" s="42">
        <f t="shared" si="1"/>
        <v>0.51</v>
      </c>
    </row>
    <row r="36" spans="1:4" ht="25" customHeight="1" x14ac:dyDescent="0.35">
      <c r="A36" s="176" t="s">
        <v>264</v>
      </c>
      <c r="B36" s="178"/>
      <c r="C36" s="10">
        <f>ROUND(1/12,5)</f>
        <v>8.3330000000000001E-2</v>
      </c>
      <c r="D36" s="5">
        <f t="shared" si="1"/>
        <v>201.54</v>
      </c>
    </row>
    <row r="37" spans="1:4" x14ac:dyDescent="0.35">
      <c r="A37" s="198" t="s">
        <v>29</v>
      </c>
      <c r="B37" s="199"/>
      <c r="C37" s="30">
        <f>ROUND(SUM(C28:C36),5)</f>
        <v>0.23483000000000001</v>
      </c>
      <c r="D37" s="29">
        <f>ROUND(SUM(D28:D36),2)</f>
        <v>567.95000000000005</v>
      </c>
    </row>
    <row r="38" spans="1:4" x14ac:dyDescent="0.35">
      <c r="A38" s="20"/>
      <c r="B38" s="20"/>
      <c r="C38" s="8"/>
      <c r="D38" s="7"/>
    </row>
    <row r="39" spans="1:4" x14ac:dyDescent="0.35">
      <c r="A39" s="207" t="s">
        <v>30</v>
      </c>
      <c r="B39" s="208"/>
      <c r="C39" s="90" t="s">
        <v>6</v>
      </c>
      <c r="D39" s="90" t="s">
        <v>7</v>
      </c>
    </row>
    <row r="40" spans="1:4" ht="25" customHeight="1" x14ac:dyDescent="0.35">
      <c r="A40" s="210" t="s">
        <v>31</v>
      </c>
      <c r="B40" s="211"/>
      <c r="C40" s="12">
        <f>ROUND(1/12*5%,5)</f>
        <v>4.1700000000000001E-3</v>
      </c>
      <c r="D40" s="54">
        <f>ROUND($D$13*C40,2)</f>
        <v>10.09</v>
      </c>
    </row>
    <row r="41" spans="1:4" ht="25" customHeight="1" x14ac:dyDescent="0.35">
      <c r="A41" s="196" t="s">
        <v>32</v>
      </c>
      <c r="B41" s="197"/>
      <c r="C41" s="50">
        <f>ROUND(0.02*(1/12),5)</f>
        <v>1.67E-3</v>
      </c>
      <c r="D41" s="42">
        <f>ROUND($D$13*C41,2)</f>
        <v>4.04</v>
      </c>
    </row>
    <row r="42" spans="1:4" ht="25" customHeight="1" x14ac:dyDescent="0.35">
      <c r="A42" s="210" t="s">
        <v>33</v>
      </c>
      <c r="B42" s="211"/>
      <c r="C42" s="15">
        <f>ROUND(40%*8%,5)</f>
        <v>3.2000000000000001E-2</v>
      </c>
      <c r="D42" s="54">
        <f>ROUND($D$13*C42,2)</f>
        <v>77.39</v>
      </c>
    </row>
    <row r="43" spans="1:4" x14ac:dyDescent="0.35">
      <c r="A43" s="198" t="s">
        <v>34</v>
      </c>
      <c r="B43" s="199"/>
      <c r="C43" s="30">
        <f>ROUND(SUM(C40:C42),5)</f>
        <v>3.7839999999999999E-2</v>
      </c>
      <c r="D43" s="29">
        <f>ROUND(SUM(D40:D42),2)</f>
        <v>91.52</v>
      </c>
    </row>
    <row r="44" spans="1:4" x14ac:dyDescent="0.35">
      <c r="A44" s="20"/>
      <c r="B44" s="20"/>
      <c r="C44" s="8"/>
      <c r="D44" s="7"/>
    </row>
    <row r="45" spans="1:4" x14ac:dyDescent="0.35">
      <c r="A45" s="207" t="s">
        <v>35</v>
      </c>
      <c r="B45" s="208"/>
      <c r="C45" s="90" t="s">
        <v>6</v>
      </c>
      <c r="D45" s="90" t="s">
        <v>7</v>
      </c>
    </row>
    <row r="46" spans="1:4" ht="29" customHeight="1" x14ac:dyDescent="0.35">
      <c r="A46" s="176" t="s">
        <v>36</v>
      </c>
      <c r="B46" s="178"/>
      <c r="C46" s="14">
        <f>ROUND(C25*C37,5)</f>
        <v>8.8770000000000002E-2</v>
      </c>
      <c r="D46" s="5">
        <f>ROUND($D$13*C46,2)</f>
        <v>214.7</v>
      </c>
    </row>
    <row r="47" spans="1:4" x14ac:dyDescent="0.35">
      <c r="A47" s="198" t="s">
        <v>37</v>
      </c>
      <c r="B47" s="199"/>
      <c r="C47" s="30">
        <f>ROUND(SUM(C46),5)</f>
        <v>8.8770000000000002E-2</v>
      </c>
      <c r="D47" s="29">
        <f>ROUND(SUM(D46),2)</f>
        <v>214.7</v>
      </c>
    </row>
    <row r="48" spans="1:4" x14ac:dyDescent="0.35">
      <c r="A48" s="20"/>
      <c r="B48" s="20"/>
      <c r="C48" s="8"/>
      <c r="D48" s="7"/>
    </row>
    <row r="49" spans="1:4" x14ac:dyDescent="0.35">
      <c r="A49" s="207" t="s">
        <v>38</v>
      </c>
      <c r="B49" s="208"/>
      <c r="C49" s="90" t="s">
        <v>6</v>
      </c>
      <c r="D49" s="90" t="s">
        <v>7</v>
      </c>
    </row>
    <row r="50" spans="1:4" ht="65.5" customHeight="1" x14ac:dyDescent="0.35">
      <c r="A50" s="176" t="s">
        <v>39</v>
      </c>
      <c r="B50" s="178"/>
      <c r="C50" s="15">
        <f>ROUND(8%*C40,5)</f>
        <v>3.3E-4</v>
      </c>
      <c r="D50" s="5">
        <f>ROUND($D$13*C50,2)</f>
        <v>0.8</v>
      </c>
    </row>
    <row r="51" spans="1:4" x14ac:dyDescent="0.35">
      <c r="A51" s="198" t="s">
        <v>40</v>
      </c>
      <c r="B51" s="199"/>
      <c r="C51" s="30">
        <f>ROUND(SUM(C50:C50),5)</f>
        <v>3.3E-4</v>
      </c>
      <c r="D51" s="29">
        <f>ROUND(SUM(D50:D50),2)</f>
        <v>0.8</v>
      </c>
    </row>
    <row r="52" spans="1:4" x14ac:dyDescent="0.35">
      <c r="A52" s="20"/>
      <c r="B52" s="20"/>
      <c r="C52" s="8"/>
      <c r="D52" s="7"/>
    </row>
    <row r="53" spans="1:4" x14ac:dyDescent="0.35">
      <c r="A53" s="207" t="s">
        <v>41</v>
      </c>
      <c r="B53" s="208"/>
      <c r="C53" s="90" t="s">
        <v>6</v>
      </c>
      <c r="D53" s="90" t="s">
        <v>7</v>
      </c>
    </row>
    <row r="54" spans="1:4" ht="116.5" customHeight="1" x14ac:dyDescent="0.35">
      <c r="A54" s="176" t="s">
        <v>42</v>
      </c>
      <c r="B54" s="178"/>
      <c r="C54" s="14">
        <f>ROUND(C25*(13/12)*(4/12)*2/100,5)</f>
        <v>2.7299999999999998E-3</v>
      </c>
      <c r="D54" s="5">
        <f>ROUND($D$13*C54,2)</f>
        <v>6.6</v>
      </c>
    </row>
    <row r="55" spans="1:4" x14ac:dyDescent="0.35">
      <c r="A55" s="198" t="s">
        <v>43</v>
      </c>
      <c r="B55" s="199"/>
      <c r="C55" s="30">
        <f>ROUND(SUM(C54),5)</f>
        <v>2.7299999999999998E-3</v>
      </c>
      <c r="D55" s="29">
        <f>ROUND(SUM(D54),2)</f>
        <v>6.6</v>
      </c>
    </row>
    <row r="56" spans="1:4" x14ac:dyDescent="0.35">
      <c r="A56" s="198" t="s">
        <v>44</v>
      </c>
      <c r="B56" s="199"/>
      <c r="C56" s="30">
        <f>ROUND(C25+C37+C43+C47+C51+C55,5)</f>
        <v>0.74250000000000005</v>
      </c>
      <c r="D56" s="29">
        <f>ROUND(D25+D37+D43+D47+D51+D55,2)</f>
        <v>1795.8</v>
      </c>
    </row>
    <row r="57" spans="1:4" ht="15" customHeight="1" x14ac:dyDescent="0.35">
      <c r="A57" s="20"/>
      <c r="B57" s="20"/>
      <c r="C57" s="8"/>
      <c r="D57" s="7"/>
    </row>
    <row r="58" spans="1:4" ht="15" customHeight="1" x14ac:dyDescent="0.35">
      <c r="A58" s="198" t="s">
        <v>45</v>
      </c>
      <c r="B58" s="200"/>
      <c r="C58" s="199"/>
      <c r="D58" s="29">
        <f>D13+D56</f>
        <v>4214.38</v>
      </c>
    </row>
    <row r="59" spans="1:4" ht="15" customHeight="1" x14ac:dyDescent="0.35">
      <c r="A59" s="3"/>
      <c r="B59" s="3"/>
      <c r="C59" s="3"/>
      <c r="D59" s="3"/>
    </row>
    <row r="60" spans="1:4" ht="15" customHeight="1" x14ac:dyDescent="0.35">
      <c r="A60" s="202" t="s">
        <v>72</v>
      </c>
      <c r="B60" s="202"/>
      <c r="C60" s="202"/>
      <c r="D60" s="202"/>
    </row>
    <row r="61" spans="1:4" x14ac:dyDescent="0.35">
      <c r="A61" s="202" t="s">
        <v>46</v>
      </c>
      <c r="B61" s="202"/>
      <c r="C61" s="90" t="s">
        <v>218</v>
      </c>
      <c r="D61" s="92" t="s">
        <v>7</v>
      </c>
    </row>
    <row r="62" spans="1:4" ht="96" customHeight="1" x14ac:dyDescent="0.35">
      <c r="A62" s="206" t="s">
        <v>91</v>
      </c>
      <c r="B62" s="206"/>
      <c r="C62" s="33">
        <v>15</v>
      </c>
      <c r="D62" s="33">
        <f>ROUND(C62*22,2)</f>
        <v>330</v>
      </c>
    </row>
    <row r="63" spans="1:4" ht="53.5" customHeight="1" x14ac:dyDescent="0.35">
      <c r="A63" s="209" t="s">
        <v>92</v>
      </c>
      <c r="B63" s="209"/>
      <c r="C63" s="101">
        <v>0.1</v>
      </c>
      <c r="D63" s="49">
        <f>ROUND(D62*C63,2)*-1</f>
        <v>-33</v>
      </c>
    </row>
    <row r="64" spans="1:4" ht="29.5" customHeight="1" x14ac:dyDescent="0.35">
      <c r="A64" s="206" t="s">
        <v>78</v>
      </c>
      <c r="B64" s="206"/>
      <c r="C64" s="33">
        <v>100</v>
      </c>
      <c r="D64" s="33">
        <f>C64</f>
        <v>100</v>
      </c>
    </row>
    <row r="65" spans="1:4" ht="102.5" customHeight="1" x14ac:dyDescent="0.35">
      <c r="A65" s="205" t="s">
        <v>93</v>
      </c>
      <c r="B65" s="205"/>
      <c r="C65" s="102">
        <v>3.8</v>
      </c>
      <c r="D65" s="47">
        <f>ROUND(C65*2*22,2)</f>
        <v>167.2</v>
      </c>
    </row>
    <row r="66" spans="1:4" ht="62" customHeight="1" x14ac:dyDescent="0.35">
      <c r="A66" s="204" t="s">
        <v>94</v>
      </c>
      <c r="B66" s="204"/>
      <c r="C66" s="103">
        <v>0.06</v>
      </c>
      <c r="D66" s="34">
        <f>IF(D11*C66&gt;D65,"-",ROUND(D11*C66,2)*-1)</f>
        <v>-145.11000000000001</v>
      </c>
    </row>
    <row r="67" spans="1:4" ht="29.5" customHeight="1" x14ac:dyDescent="0.35">
      <c r="A67" s="205" t="s">
        <v>79</v>
      </c>
      <c r="B67" s="205"/>
      <c r="C67" s="102">
        <v>15</v>
      </c>
      <c r="D67" s="47">
        <f>C67</f>
        <v>15</v>
      </c>
    </row>
    <row r="68" spans="1:4" ht="44.5" customHeight="1" x14ac:dyDescent="0.35">
      <c r="A68" s="206" t="s">
        <v>219</v>
      </c>
      <c r="B68" s="206"/>
      <c r="C68" s="104">
        <v>10</v>
      </c>
      <c r="D68" s="33">
        <f>C68</f>
        <v>10</v>
      </c>
    </row>
    <row r="69" spans="1:4" ht="29.5" customHeight="1" x14ac:dyDescent="0.35">
      <c r="A69" s="205" t="s">
        <v>95</v>
      </c>
      <c r="B69" s="205"/>
      <c r="C69" s="102">
        <v>10</v>
      </c>
      <c r="D69" s="47">
        <f>C69</f>
        <v>10</v>
      </c>
    </row>
    <row r="70" spans="1:4" ht="25.5" customHeight="1" x14ac:dyDescent="0.35">
      <c r="A70" s="206" t="s">
        <v>47</v>
      </c>
      <c r="B70" s="206"/>
      <c r="C70" s="60" t="s">
        <v>60</v>
      </c>
      <c r="D70" s="33">
        <f>'Uniforme Tipo I'!F13</f>
        <v>82.32</v>
      </c>
    </row>
    <row r="71" spans="1:4" ht="25.5" customHeight="1" x14ac:dyDescent="0.35">
      <c r="A71" s="233" t="s">
        <v>265</v>
      </c>
      <c r="B71" s="234"/>
      <c r="C71" s="61" t="s">
        <v>60</v>
      </c>
      <c r="D71" s="45">
        <f>'Manutenção Equip.'!F7</f>
        <v>22.3</v>
      </c>
    </row>
    <row r="72" spans="1:4" ht="15" customHeight="1" x14ac:dyDescent="0.35">
      <c r="A72" s="217" t="s">
        <v>48</v>
      </c>
      <c r="B72" s="217"/>
      <c r="C72" s="217"/>
      <c r="D72" s="29">
        <f>ROUND(SUM(D62:D70),2)</f>
        <v>536.41</v>
      </c>
    </row>
    <row r="73" spans="1:4" x14ac:dyDescent="0.35">
      <c r="A73" s="20"/>
      <c r="B73" s="20"/>
      <c r="C73" s="20"/>
      <c r="D73" s="7"/>
    </row>
    <row r="74" spans="1:4" ht="30" customHeight="1" x14ac:dyDescent="0.35">
      <c r="A74" s="198" t="s">
        <v>49</v>
      </c>
      <c r="B74" s="200"/>
      <c r="C74" s="199"/>
      <c r="D74" s="29">
        <f>ROUND(D58+D72,2)</f>
        <v>4750.79</v>
      </c>
    </row>
    <row r="75" spans="1:4" x14ac:dyDescent="0.35">
      <c r="A75" s="20"/>
      <c r="B75" s="20"/>
      <c r="C75" s="20"/>
      <c r="D75" s="7"/>
    </row>
    <row r="76" spans="1:4" x14ac:dyDescent="0.35">
      <c r="A76" s="202" t="s">
        <v>88</v>
      </c>
      <c r="B76" s="202"/>
      <c r="C76" s="202"/>
      <c r="D76" s="202"/>
    </row>
    <row r="77" spans="1:4" x14ac:dyDescent="0.35">
      <c r="A77" s="207" t="s">
        <v>50</v>
      </c>
      <c r="B77" s="208"/>
      <c r="C77" s="90" t="s">
        <v>6</v>
      </c>
      <c r="D77" s="90" t="s">
        <v>7</v>
      </c>
    </row>
    <row r="78" spans="1:4" s="1" customFormat="1" ht="30" customHeight="1" x14ac:dyDescent="0.3">
      <c r="A78" s="176" t="s">
        <v>51</v>
      </c>
      <c r="B78" s="178"/>
      <c r="C78" s="13">
        <v>0.05</v>
      </c>
      <c r="D78" s="18">
        <f>ROUND(D74*C78,2)</f>
        <v>237.54</v>
      </c>
    </row>
    <row r="79" spans="1:4" s="1" customFormat="1" ht="30" customHeight="1" x14ac:dyDescent="0.3">
      <c r="A79" s="196" t="s">
        <v>9</v>
      </c>
      <c r="B79" s="197"/>
      <c r="C79" s="41">
        <v>0.1</v>
      </c>
      <c r="D79" s="44">
        <f>ROUND(D74*C79,2)</f>
        <v>475.08</v>
      </c>
    </row>
    <row r="80" spans="1:4" x14ac:dyDescent="0.35">
      <c r="A80" s="198" t="s">
        <v>52</v>
      </c>
      <c r="B80" s="199"/>
      <c r="C80" s="31">
        <f>ROUND(SUM(C78:C79),5)</f>
        <v>0.15</v>
      </c>
      <c r="D80" s="29">
        <f>SUM(D78:D79)</f>
        <v>712.62</v>
      </c>
    </row>
    <row r="81" spans="1:4" x14ac:dyDescent="0.35">
      <c r="A81" s="20"/>
      <c r="B81" s="20"/>
      <c r="C81" s="6"/>
      <c r="D81" s="7"/>
    </row>
    <row r="82" spans="1:4" ht="30" customHeight="1" x14ac:dyDescent="0.35">
      <c r="A82" s="198" t="s">
        <v>73</v>
      </c>
      <c r="B82" s="200"/>
      <c r="C82" s="199"/>
      <c r="D82" s="29">
        <f>ROUND(D74+D80,2)</f>
        <v>5463.41</v>
      </c>
    </row>
    <row r="83" spans="1:4" x14ac:dyDescent="0.35">
      <c r="A83" s="20"/>
      <c r="B83" s="20"/>
      <c r="C83" s="20"/>
      <c r="D83" s="7"/>
    </row>
    <row r="84" spans="1:4" ht="35.25" customHeight="1" x14ac:dyDescent="0.35">
      <c r="A84" s="235" t="s">
        <v>63</v>
      </c>
      <c r="B84" s="235"/>
      <c r="C84" s="30">
        <f>ROUND(1-(SUM(C87:C89)/1),5)</f>
        <v>0.91349999999999998</v>
      </c>
      <c r="D84" s="29">
        <f>ROUND(D82/C84,2)</f>
        <v>5980.74</v>
      </c>
    </row>
    <row r="85" spans="1:4" x14ac:dyDescent="0.35">
      <c r="A85" s="3"/>
      <c r="B85" s="3"/>
      <c r="C85" s="3"/>
      <c r="D85" s="3"/>
    </row>
    <row r="86" spans="1:4" x14ac:dyDescent="0.35">
      <c r="A86" s="207" t="s">
        <v>53</v>
      </c>
      <c r="B86" s="208"/>
      <c r="C86" s="90" t="s">
        <v>6</v>
      </c>
      <c r="D86" s="90" t="s">
        <v>7</v>
      </c>
    </row>
    <row r="87" spans="1:4" ht="22" customHeight="1" x14ac:dyDescent="0.35">
      <c r="A87" s="176" t="s">
        <v>54</v>
      </c>
      <c r="B87" s="178"/>
      <c r="C87" s="13">
        <v>0.05</v>
      </c>
      <c r="D87" s="5">
        <f>ROUND($D$84*C87,2)</f>
        <v>299.04000000000002</v>
      </c>
    </row>
    <row r="88" spans="1:4" ht="22" customHeight="1" x14ac:dyDescent="0.35">
      <c r="A88" s="196" t="s">
        <v>55</v>
      </c>
      <c r="B88" s="197"/>
      <c r="C88" s="41">
        <v>0.03</v>
      </c>
      <c r="D88" s="42">
        <f>ROUND($D$84*C88,2)</f>
        <v>179.42</v>
      </c>
    </row>
    <row r="89" spans="1:4" ht="22" customHeight="1" x14ac:dyDescent="0.35">
      <c r="A89" s="176" t="s">
        <v>56</v>
      </c>
      <c r="B89" s="178"/>
      <c r="C89" s="13">
        <v>6.4999999999999997E-3</v>
      </c>
      <c r="D89" s="5">
        <f>ROUND($D$84*C89,2)</f>
        <v>38.869999999999997</v>
      </c>
    </row>
    <row r="90" spans="1:4" x14ac:dyDescent="0.35">
      <c r="A90" s="198" t="s">
        <v>57</v>
      </c>
      <c r="B90" s="199"/>
      <c r="C90" s="30">
        <f>ROUND(SUM(C87:C89),5)</f>
        <v>8.6499999999999994E-2</v>
      </c>
      <c r="D90" s="29">
        <f>ROUND(SUM(D87:D89),2)</f>
        <v>517.33000000000004</v>
      </c>
    </row>
    <row r="91" spans="1:4" ht="10" customHeight="1" x14ac:dyDescent="0.35">
      <c r="A91" s="3"/>
      <c r="B91" s="3"/>
      <c r="C91" s="3"/>
      <c r="D91" s="3"/>
    </row>
    <row r="92" spans="1:4" ht="25" customHeight="1" x14ac:dyDescent="0.35">
      <c r="A92" s="198" t="s">
        <v>58</v>
      </c>
      <c r="B92" s="200"/>
      <c r="C92" s="199"/>
      <c r="D92" s="29">
        <f>ROUND(D82+D90,2)</f>
        <v>5980.74</v>
      </c>
    </row>
    <row r="93" spans="1:4" ht="25" customHeight="1" x14ac:dyDescent="0.35">
      <c r="A93" s="198" t="s">
        <v>64</v>
      </c>
      <c r="B93" s="200"/>
      <c r="C93" s="199"/>
      <c r="D93" s="29">
        <f>ROUND(D92*12,2)</f>
        <v>71768.88</v>
      </c>
    </row>
    <row r="94" spans="1:4" ht="10" customHeight="1" x14ac:dyDescent="0.35">
      <c r="A94" s="20"/>
      <c r="B94" s="20"/>
      <c r="C94" s="20"/>
      <c r="D94" s="7"/>
    </row>
    <row r="95" spans="1:4" ht="15" customHeight="1" x14ac:dyDescent="0.35">
      <c r="A95" s="202" t="s">
        <v>59</v>
      </c>
      <c r="B95" s="202"/>
      <c r="C95" s="202"/>
      <c r="D95" s="27" t="s">
        <v>6</v>
      </c>
    </row>
    <row r="96" spans="1:4" ht="15" customHeight="1" x14ac:dyDescent="0.35">
      <c r="A96" s="201" t="s">
        <v>74</v>
      </c>
      <c r="B96" s="201"/>
      <c r="C96" s="201"/>
      <c r="D96" s="17">
        <f>C25</f>
        <v>0.378</v>
      </c>
    </row>
    <row r="97" spans="1:4" ht="15" customHeight="1" x14ac:dyDescent="0.35">
      <c r="A97" s="203" t="s">
        <v>29</v>
      </c>
      <c r="B97" s="203"/>
      <c r="C97" s="203"/>
      <c r="D97" s="43">
        <f>C37</f>
        <v>0.23483000000000001</v>
      </c>
    </row>
    <row r="98" spans="1:4" ht="15" customHeight="1" x14ac:dyDescent="0.35">
      <c r="A98" s="201" t="s">
        <v>34</v>
      </c>
      <c r="B98" s="201"/>
      <c r="C98" s="201"/>
      <c r="D98" s="17">
        <f>C43</f>
        <v>3.7839999999999999E-2</v>
      </c>
    </row>
    <row r="99" spans="1:4" ht="15" customHeight="1" x14ac:dyDescent="0.35">
      <c r="A99" s="203" t="s">
        <v>37</v>
      </c>
      <c r="B99" s="203"/>
      <c r="C99" s="203"/>
      <c r="D99" s="43">
        <f>C47</f>
        <v>8.8770000000000002E-2</v>
      </c>
    </row>
    <row r="100" spans="1:4" ht="15" customHeight="1" x14ac:dyDescent="0.35">
      <c r="A100" s="201" t="s">
        <v>40</v>
      </c>
      <c r="B100" s="201"/>
      <c r="C100" s="201"/>
      <c r="D100" s="17">
        <f>C51</f>
        <v>3.3E-4</v>
      </c>
    </row>
    <row r="101" spans="1:4" ht="15" customHeight="1" x14ac:dyDescent="0.35">
      <c r="A101" s="203" t="s">
        <v>43</v>
      </c>
      <c r="B101" s="203"/>
      <c r="C101" s="203"/>
      <c r="D101" s="43">
        <f>C55</f>
        <v>2.7299999999999998E-3</v>
      </c>
    </row>
    <row r="102" spans="1:4" ht="15" customHeight="1" x14ac:dyDescent="0.35">
      <c r="A102" s="236" t="s">
        <v>75</v>
      </c>
      <c r="B102" s="236"/>
      <c r="C102" s="236"/>
      <c r="D102" s="28">
        <f>ROUND(SUM(D96:D101),5)</f>
        <v>0.74250000000000005</v>
      </c>
    </row>
    <row r="103" spans="1:4" ht="10" customHeight="1" x14ac:dyDescent="0.35"/>
    <row r="104" spans="1:4" x14ac:dyDescent="0.35">
      <c r="A104" s="207" t="s">
        <v>268</v>
      </c>
      <c r="B104" s="208"/>
      <c r="C104" s="90" t="s">
        <v>269</v>
      </c>
      <c r="D104" s="27" t="s">
        <v>6</v>
      </c>
    </row>
    <row r="105" spans="1:4" x14ac:dyDescent="0.35">
      <c r="A105" s="212" t="s">
        <v>270</v>
      </c>
      <c r="B105" s="213"/>
      <c r="C105" s="110">
        <f>D13</f>
        <v>2418.58</v>
      </c>
      <c r="D105" s="17">
        <f>ROUND(C105/$C$109,5)</f>
        <v>0.40439000000000003</v>
      </c>
    </row>
    <row r="106" spans="1:4" ht="24.5" customHeight="1" x14ac:dyDescent="0.35">
      <c r="A106" s="229" t="s">
        <v>271</v>
      </c>
      <c r="B106" s="230"/>
      <c r="C106" s="111">
        <f>D56</f>
        <v>1795.8</v>
      </c>
      <c r="D106" s="43">
        <f>ROUND(C106/$C$109,5)</f>
        <v>0.30026000000000003</v>
      </c>
    </row>
    <row r="107" spans="1:4" x14ac:dyDescent="0.35">
      <c r="A107" s="212" t="s">
        <v>272</v>
      </c>
      <c r="B107" s="213"/>
      <c r="C107" s="110">
        <f>D72</f>
        <v>536.41</v>
      </c>
      <c r="D107" s="17">
        <f>ROUND(C107/$C$109,5)</f>
        <v>8.9690000000000006E-2</v>
      </c>
    </row>
    <row r="108" spans="1:4" x14ac:dyDescent="0.35">
      <c r="A108" s="229" t="s">
        <v>273</v>
      </c>
      <c r="B108" s="230"/>
      <c r="C108" s="111">
        <f>ROUND(D80+D90,2)</f>
        <v>1229.95</v>
      </c>
      <c r="D108" s="43">
        <f>ROUND(C108/$C$109,5)</f>
        <v>0.20565</v>
      </c>
    </row>
    <row r="109" spans="1:4" x14ac:dyDescent="0.35">
      <c r="A109" s="231" t="s">
        <v>274</v>
      </c>
      <c r="B109" s="232"/>
      <c r="C109" s="112">
        <f>ROUND(SUM(C105:C108),2)</f>
        <v>5980.74</v>
      </c>
      <c r="D109" s="30">
        <f>ROUND(SUM(D105:D108),5)</f>
        <v>0.99999000000000005</v>
      </c>
    </row>
  </sheetData>
  <mergeCells count="92">
    <mergeCell ref="A104:B104"/>
    <mergeCell ref="A98:C98"/>
    <mergeCell ref="A99:C99"/>
    <mergeCell ref="A100:C100"/>
    <mergeCell ref="A101:C101"/>
    <mergeCell ref="A102:C102"/>
    <mergeCell ref="A105:B105"/>
    <mergeCell ref="A106:B106"/>
    <mergeCell ref="A107:B107"/>
    <mergeCell ref="A108:B108"/>
    <mergeCell ref="A109:B109"/>
    <mergeCell ref="A97:C97"/>
    <mergeCell ref="A80:B80"/>
    <mergeCell ref="A82:C82"/>
    <mergeCell ref="A84:B84"/>
    <mergeCell ref="A86:B86"/>
    <mergeCell ref="A90:B90"/>
    <mergeCell ref="A92:C92"/>
    <mergeCell ref="A93:C93"/>
    <mergeCell ref="A95:C95"/>
    <mergeCell ref="A96:C96"/>
    <mergeCell ref="A87:B87"/>
    <mergeCell ref="A88:B88"/>
    <mergeCell ref="A89:B89"/>
    <mergeCell ref="A74:C74"/>
    <mergeCell ref="A76:D76"/>
    <mergeCell ref="A77:B77"/>
    <mergeCell ref="A78:B78"/>
    <mergeCell ref="A79:B79"/>
    <mergeCell ref="A68:B68"/>
    <mergeCell ref="A69:B69"/>
    <mergeCell ref="A70:B70"/>
    <mergeCell ref="A71:B71"/>
    <mergeCell ref="A72:C72"/>
    <mergeCell ref="A58:C58"/>
    <mergeCell ref="A46:B46"/>
    <mergeCell ref="A47:B47"/>
    <mergeCell ref="A49:B49"/>
    <mergeCell ref="A67:B67"/>
    <mergeCell ref="A60:D60"/>
    <mergeCell ref="A61:B61"/>
    <mergeCell ref="A62:B62"/>
    <mergeCell ref="A63:B63"/>
    <mergeCell ref="A64:B64"/>
    <mergeCell ref="A65:B65"/>
    <mergeCell ref="A66:B66"/>
    <mergeCell ref="A51:B51"/>
    <mergeCell ref="A53:B53"/>
    <mergeCell ref="A54:B54"/>
    <mergeCell ref="A55:B55"/>
    <mergeCell ref="A56:B56"/>
    <mergeCell ref="A31:B31"/>
    <mergeCell ref="A32:B32"/>
    <mergeCell ref="A33:B33"/>
    <mergeCell ref="A50:B50"/>
    <mergeCell ref="A40:B40"/>
    <mergeCell ref="A41:B41"/>
    <mergeCell ref="A42:B42"/>
    <mergeCell ref="A43:B43"/>
    <mergeCell ref="A45:B45"/>
    <mergeCell ref="A34:B34"/>
    <mergeCell ref="A35:B35"/>
    <mergeCell ref="A36:B36"/>
    <mergeCell ref="A37:B37"/>
    <mergeCell ref="A39:B39"/>
    <mergeCell ref="A25:B25"/>
    <mergeCell ref="A27:B27"/>
    <mergeCell ref="A28:B28"/>
    <mergeCell ref="A29:B29"/>
    <mergeCell ref="A30:B30"/>
    <mergeCell ref="A23:B23"/>
    <mergeCell ref="A24:B24"/>
    <mergeCell ref="A13:C13"/>
    <mergeCell ref="A15:D15"/>
    <mergeCell ref="A16:B16"/>
    <mergeCell ref="A17:B17"/>
    <mergeCell ref="A18:B18"/>
    <mergeCell ref="B6:D6"/>
    <mergeCell ref="A19:B19"/>
    <mergeCell ref="A20:B20"/>
    <mergeCell ref="A21:B21"/>
    <mergeCell ref="A22:B22"/>
    <mergeCell ref="A8:D8"/>
    <mergeCell ref="A9:D9"/>
    <mergeCell ref="A10:B10"/>
    <mergeCell ref="A11:B11"/>
    <mergeCell ref="A12:B12"/>
    <mergeCell ref="A1:D1"/>
    <mergeCell ref="B2:D2"/>
    <mergeCell ref="B3:D3"/>
    <mergeCell ref="B4:D4"/>
    <mergeCell ref="B5:D5"/>
  </mergeCells>
  <pageMargins left="0.23622047244094491" right="0.23622047244094491" top="1.3385826771653544" bottom="0.74803149606299213" header="0.9055118110236221" footer="0.31496062992125984"/>
  <pageSetup fitToHeight="0" orientation="landscape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0CB21-457E-4654-9115-276CD2B6BB61}">
  <sheetPr codeName="Planilha9">
    <pageSetUpPr fitToPage="1"/>
  </sheetPr>
  <dimension ref="A1:D109"/>
  <sheetViews>
    <sheetView view="pageBreakPreview" zoomScaleNormal="100" zoomScaleSheetLayoutView="100" workbookViewId="0">
      <selection activeCell="F5" sqref="F5"/>
    </sheetView>
  </sheetViews>
  <sheetFormatPr defaultRowHeight="14.5" x14ac:dyDescent="0.35"/>
  <cols>
    <col min="1" max="1" width="33.453125" customWidth="1"/>
    <col min="2" max="2" width="14.54296875" customWidth="1"/>
    <col min="3" max="3" width="10.81640625" customWidth="1"/>
    <col min="4" max="4" width="12.26953125" customWidth="1"/>
  </cols>
  <sheetData>
    <row r="1" spans="1:4" ht="23.5" customHeight="1" x14ac:dyDescent="0.35">
      <c r="A1" s="218" t="s">
        <v>0</v>
      </c>
      <c r="B1" s="218"/>
      <c r="C1" s="218"/>
      <c r="D1" s="218"/>
    </row>
    <row r="2" spans="1:4" ht="30.5" customHeight="1" x14ac:dyDescent="0.35">
      <c r="A2" s="23" t="s">
        <v>2</v>
      </c>
      <c r="B2" s="214" t="str">
        <f>'Quantidade de Cargo'!A7</f>
        <v>Assistente Administrativo I</v>
      </c>
      <c r="C2" s="215"/>
      <c r="D2" s="216"/>
    </row>
    <row r="3" spans="1:4" ht="15" customHeight="1" x14ac:dyDescent="0.35">
      <c r="A3" s="23" t="s">
        <v>61</v>
      </c>
      <c r="B3" s="219" t="str">
        <f>'Salario Base'!B10</f>
        <v>4110-10</v>
      </c>
      <c r="C3" s="220"/>
      <c r="D3" s="221"/>
    </row>
    <row r="4" spans="1:4" ht="15" customHeight="1" x14ac:dyDescent="0.35">
      <c r="A4" s="24" t="s">
        <v>1</v>
      </c>
      <c r="B4" s="214" t="s">
        <v>143</v>
      </c>
      <c r="C4" s="215"/>
      <c r="D4" s="216"/>
    </row>
    <row r="5" spans="1:4" ht="26" x14ac:dyDescent="0.35">
      <c r="A5" s="24" t="s">
        <v>3</v>
      </c>
      <c r="B5" s="222">
        <v>1</v>
      </c>
      <c r="C5" s="220"/>
      <c r="D5" s="221"/>
    </row>
    <row r="6" spans="1:4" ht="65.5" customHeight="1" x14ac:dyDescent="0.35">
      <c r="A6" s="24" t="s">
        <v>62</v>
      </c>
      <c r="B6" s="214" t="s">
        <v>217</v>
      </c>
      <c r="C6" s="215"/>
      <c r="D6" s="216"/>
    </row>
    <row r="7" spans="1:4" ht="15" customHeight="1" x14ac:dyDescent="0.35">
      <c r="A7" s="2"/>
      <c r="B7" s="16"/>
      <c r="C7" s="3"/>
      <c r="D7" s="3"/>
    </row>
    <row r="8" spans="1:4" x14ac:dyDescent="0.35">
      <c r="A8" s="223" t="s">
        <v>4</v>
      </c>
      <c r="B8" s="223"/>
      <c r="C8" s="223"/>
      <c r="D8" s="223"/>
    </row>
    <row r="9" spans="1:4" x14ac:dyDescent="0.35">
      <c r="A9" s="224" t="s">
        <v>70</v>
      </c>
      <c r="B9" s="225"/>
      <c r="C9" s="225"/>
      <c r="D9" s="226"/>
    </row>
    <row r="10" spans="1:4" x14ac:dyDescent="0.35">
      <c r="A10" s="227" t="s">
        <v>5</v>
      </c>
      <c r="B10" s="228"/>
      <c r="C10" s="90" t="s">
        <v>6</v>
      </c>
      <c r="D10" s="90" t="s">
        <v>7</v>
      </c>
    </row>
    <row r="11" spans="1:4" ht="40.5" customHeight="1" x14ac:dyDescent="0.35">
      <c r="A11" s="176" t="s">
        <v>8</v>
      </c>
      <c r="B11" s="178"/>
      <c r="C11" s="91" t="s">
        <v>60</v>
      </c>
      <c r="D11" s="4">
        <f>'Salario Base'!D10</f>
        <v>1560.18</v>
      </c>
    </row>
    <row r="12" spans="1:4" ht="15" customHeight="1" x14ac:dyDescent="0.35">
      <c r="A12" s="229" t="s">
        <v>66</v>
      </c>
      <c r="B12" s="230"/>
      <c r="C12" s="53"/>
      <c r="D12" s="42">
        <f>C12*D11/100</f>
        <v>0</v>
      </c>
    </row>
    <row r="13" spans="1:4" x14ac:dyDescent="0.35">
      <c r="A13" s="217" t="s">
        <v>20</v>
      </c>
      <c r="B13" s="217"/>
      <c r="C13" s="217"/>
      <c r="D13" s="29">
        <f>ROUND(SUM(D11:D12),2)</f>
        <v>1560.18</v>
      </c>
    </row>
    <row r="14" spans="1:4" x14ac:dyDescent="0.35">
      <c r="A14" s="3"/>
      <c r="B14" s="3"/>
      <c r="C14" s="3"/>
      <c r="D14" s="3"/>
    </row>
    <row r="15" spans="1:4" x14ac:dyDescent="0.35">
      <c r="A15" s="202" t="s">
        <v>71</v>
      </c>
      <c r="B15" s="202"/>
      <c r="C15" s="202"/>
      <c r="D15" s="202"/>
    </row>
    <row r="16" spans="1:4" x14ac:dyDescent="0.35">
      <c r="A16" s="202" t="s">
        <v>10</v>
      </c>
      <c r="B16" s="202"/>
      <c r="C16" s="90" t="s">
        <v>6</v>
      </c>
      <c r="D16" s="90" t="s">
        <v>7</v>
      </c>
    </row>
    <row r="17" spans="1:4" x14ac:dyDescent="0.35">
      <c r="A17" s="176" t="s">
        <v>11</v>
      </c>
      <c r="B17" s="178"/>
      <c r="C17" s="11">
        <v>0.2</v>
      </c>
      <c r="D17" s="5">
        <f>ROUND($D$13*C17,2)</f>
        <v>312.04000000000002</v>
      </c>
    </row>
    <row r="18" spans="1:4" x14ac:dyDescent="0.35">
      <c r="A18" s="196" t="s">
        <v>12</v>
      </c>
      <c r="B18" s="197"/>
      <c r="C18" s="52">
        <v>0.08</v>
      </c>
      <c r="D18" s="42">
        <f t="shared" ref="D18:D24" si="0">ROUND($D$13*C18,2)</f>
        <v>124.81</v>
      </c>
    </row>
    <row r="19" spans="1:4" x14ac:dyDescent="0.35">
      <c r="A19" s="176" t="s">
        <v>13</v>
      </c>
      <c r="B19" s="178"/>
      <c r="C19" s="11">
        <v>1.4999999999999999E-2</v>
      </c>
      <c r="D19" s="5">
        <f t="shared" si="0"/>
        <v>23.4</v>
      </c>
    </row>
    <row r="20" spans="1:4" ht="25.5" customHeight="1" x14ac:dyDescent="0.35">
      <c r="A20" s="196" t="s">
        <v>14</v>
      </c>
      <c r="B20" s="197"/>
      <c r="C20" s="52">
        <v>0.01</v>
      </c>
      <c r="D20" s="42">
        <f t="shared" si="0"/>
        <v>15.6</v>
      </c>
    </row>
    <row r="21" spans="1:4" ht="28.5" customHeight="1" x14ac:dyDescent="0.35">
      <c r="A21" s="176" t="s">
        <v>15</v>
      </c>
      <c r="B21" s="178"/>
      <c r="C21" s="11">
        <v>2E-3</v>
      </c>
      <c r="D21" s="5">
        <f t="shared" si="0"/>
        <v>3.12</v>
      </c>
    </row>
    <row r="22" spans="1:4" x14ac:dyDescent="0.35">
      <c r="A22" s="196" t="s">
        <v>16</v>
      </c>
      <c r="B22" s="197"/>
      <c r="C22" s="52">
        <v>6.0000000000000001E-3</v>
      </c>
      <c r="D22" s="42">
        <f t="shared" si="0"/>
        <v>9.36</v>
      </c>
    </row>
    <row r="23" spans="1:4" x14ac:dyDescent="0.35">
      <c r="A23" s="212" t="s">
        <v>17</v>
      </c>
      <c r="B23" s="213"/>
      <c r="C23" s="11">
        <v>2.5000000000000001E-2</v>
      </c>
      <c r="D23" s="5">
        <f t="shared" si="0"/>
        <v>39</v>
      </c>
    </row>
    <row r="24" spans="1:4" ht="39.75" customHeight="1" x14ac:dyDescent="0.35">
      <c r="A24" s="229" t="s">
        <v>18</v>
      </c>
      <c r="B24" s="230"/>
      <c r="C24" s="50">
        <v>0.04</v>
      </c>
      <c r="D24" s="42">
        <f t="shared" si="0"/>
        <v>62.41</v>
      </c>
    </row>
    <row r="25" spans="1:4" x14ac:dyDescent="0.35">
      <c r="A25" s="198" t="s">
        <v>19</v>
      </c>
      <c r="B25" s="199"/>
      <c r="C25" s="30">
        <f>ROUND(SUM(C17:C24),5)</f>
        <v>0.378</v>
      </c>
      <c r="D25" s="29">
        <f>ROUND(SUM(D17:D24),2)</f>
        <v>589.74</v>
      </c>
    </row>
    <row r="26" spans="1:4" x14ac:dyDescent="0.35">
      <c r="A26" s="20"/>
      <c r="B26" s="20"/>
      <c r="C26" s="6"/>
      <c r="D26" s="7"/>
    </row>
    <row r="27" spans="1:4" x14ac:dyDescent="0.35">
      <c r="A27" s="202" t="s">
        <v>21</v>
      </c>
      <c r="B27" s="202"/>
      <c r="C27" s="90" t="s">
        <v>6</v>
      </c>
      <c r="D27" s="90" t="s">
        <v>7</v>
      </c>
    </row>
    <row r="28" spans="1:4" ht="25" customHeight="1" x14ac:dyDescent="0.35">
      <c r="A28" s="212" t="s">
        <v>22</v>
      </c>
      <c r="B28" s="213"/>
      <c r="C28" s="9">
        <f>ROUND(1/12,5)</f>
        <v>8.3330000000000001E-2</v>
      </c>
      <c r="D28" s="5">
        <f>ROUND($D$13*C28,2)</f>
        <v>130.01</v>
      </c>
    </row>
    <row r="29" spans="1:4" ht="25" customHeight="1" x14ac:dyDescent="0.35">
      <c r="A29" s="196" t="s">
        <v>263</v>
      </c>
      <c r="B29" s="197"/>
      <c r="C29" s="51">
        <f>ROUND((1/3)/12,5)</f>
        <v>2.7779999999999999E-2</v>
      </c>
      <c r="D29" s="42">
        <f t="shared" ref="D29:D36" si="1">ROUND($D$13*C29,2)</f>
        <v>43.34</v>
      </c>
    </row>
    <row r="30" spans="1:4" ht="25" customHeight="1" x14ac:dyDescent="0.35">
      <c r="A30" s="176" t="s">
        <v>23</v>
      </c>
      <c r="B30" s="178"/>
      <c r="C30" s="10">
        <f>ROUND((((100% / 30) * 7) / 12),5)</f>
        <v>1.9439999999999999E-2</v>
      </c>
      <c r="D30" s="5">
        <f t="shared" si="1"/>
        <v>30.33</v>
      </c>
    </row>
    <row r="31" spans="1:4" ht="25" customHeight="1" x14ac:dyDescent="0.35">
      <c r="A31" s="196" t="s">
        <v>24</v>
      </c>
      <c r="B31" s="197"/>
      <c r="C31" s="51">
        <f>ROUND((5/30)/12,5)</f>
        <v>1.389E-2</v>
      </c>
      <c r="D31" s="42">
        <f t="shared" si="1"/>
        <v>21.67</v>
      </c>
    </row>
    <row r="32" spans="1:4" ht="25" customHeight="1" x14ac:dyDescent="0.35">
      <c r="A32" s="176" t="s">
        <v>25</v>
      </c>
      <c r="B32" s="178"/>
      <c r="C32" s="10">
        <f>ROUND(((15/30/12)*0.08),5)</f>
        <v>3.3300000000000001E-3</v>
      </c>
      <c r="D32" s="5">
        <f t="shared" si="1"/>
        <v>5.2</v>
      </c>
    </row>
    <row r="33" spans="1:4" ht="25" customHeight="1" x14ac:dyDescent="0.35">
      <c r="A33" s="196" t="s">
        <v>26</v>
      </c>
      <c r="B33" s="197"/>
      <c r="C33" s="51">
        <f>ROUND((1/30)/12,5)</f>
        <v>2.7799999999999999E-3</v>
      </c>
      <c r="D33" s="42">
        <f t="shared" si="1"/>
        <v>4.34</v>
      </c>
    </row>
    <row r="34" spans="1:4" ht="25" customHeight="1" x14ac:dyDescent="0.35">
      <c r="A34" s="176" t="s">
        <v>27</v>
      </c>
      <c r="B34" s="178"/>
      <c r="C34" s="10">
        <f>ROUND(0.1111*0.02*0.333,5)</f>
        <v>7.3999999999999999E-4</v>
      </c>
      <c r="D34" s="5">
        <f t="shared" si="1"/>
        <v>1.1499999999999999</v>
      </c>
    </row>
    <row r="35" spans="1:4" ht="25" customHeight="1" x14ac:dyDescent="0.35">
      <c r="A35" s="196" t="s">
        <v>28</v>
      </c>
      <c r="B35" s="197"/>
      <c r="C35" s="51">
        <f>ROUND(((5/30)/12)*0.015,5)</f>
        <v>2.1000000000000001E-4</v>
      </c>
      <c r="D35" s="42">
        <f t="shared" si="1"/>
        <v>0.33</v>
      </c>
    </row>
    <row r="36" spans="1:4" ht="25" customHeight="1" x14ac:dyDescent="0.35">
      <c r="A36" s="176" t="s">
        <v>264</v>
      </c>
      <c r="B36" s="178"/>
      <c r="C36" s="10">
        <f>ROUND(1/12,5)</f>
        <v>8.3330000000000001E-2</v>
      </c>
      <c r="D36" s="5">
        <f t="shared" si="1"/>
        <v>130.01</v>
      </c>
    </row>
    <row r="37" spans="1:4" x14ac:dyDescent="0.35">
      <c r="A37" s="198" t="s">
        <v>29</v>
      </c>
      <c r="B37" s="199"/>
      <c r="C37" s="30">
        <f>ROUND(SUM(C28:C36),5)</f>
        <v>0.23483000000000001</v>
      </c>
      <c r="D37" s="29">
        <f>ROUND(SUM(D28:D36),2)</f>
        <v>366.38</v>
      </c>
    </row>
    <row r="38" spans="1:4" x14ac:dyDescent="0.35">
      <c r="A38" s="20"/>
      <c r="B38" s="20"/>
      <c r="C38" s="8"/>
      <c r="D38" s="7"/>
    </row>
    <row r="39" spans="1:4" x14ac:dyDescent="0.35">
      <c r="A39" s="207" t="s">
        <v>30</v>
      </c>
      <c r="B39" s="208"/>
      <c r="C39" s="90" t="s">
        <v>6</v>
      </c>
      <c r="D39" s="90" t="s">
        <v>7</v>
      </c>
    </row>
    <row r="40" spans="1:4" ht="25" customHeight="1" x14ac:dyDescent="0.35">
      <c r="A40" s="210" t="s">
        <v>31</v>
      </c>
      <c r="B40" s="211"/>
      <c r="C40" s="12">
        <f>ROUND(1/12*5%,5)</f>
        <v>4.1700000000000001E-3</v>
      </c>
      <c r="D40" s="54">
        <f>ROUND($D$13*C40,2)</f>
        <v>6.51</v>
      </c>
    </row>
    <row r="41" spans="1:4" ht="25" customHeight="1" x14ac:dyDescent="0.35">
      <c r="A41" s="196" t="s">
        <v>32</v>
      </c>
      <c r="B41" s="197"/>
      <c r="C41" s="50">
        <f>ROUND(0.02*(1/12),5)</f>
        <v>1.67E-3</v>
      </c>
      <c r="D41" s="42">
        <f>ROUND($D$13*C41,2)</f>
        <v>2.61</v>
      </c>
    </row>
    <row r="42" spans="1:4" ht="25" customHeight="1" x14ac:dyDescent="0.35">
      <c r="A42" s="210" t="s">
        <v>33</v>
      </c>
      <c r="B42" s="211"/>
      <c r="C42" s="15">
        <f>ROUND(40%*8%,5)</f>
        <v>3.2000000000000001E-2</v>
      </c>
      <c r="D42" s="54">
        <f>ROUND($D$13*C42,2)</f>
        <v>49.93</v>
      </c>
    </row>
    <row r="43" spans="1:4" x14ac:dyDescent="0.35">
      <c r="A43" s="198" t="s">
        <v>34</v>
      </c>
      <c r="B43" s="199"/>
      <c r="C43" s="30">
        <f>ROUND(SUM(C40:C42),5)</f>
        <v>3.7839999999999999E-2</v>
      </c>
      <c r="D43" s="29">
        <f>ROUND(SUM(D40:D42),2)</f>
        <v>59.05</v>
      </c>
    </row>
    <row r="44" spans="1:4" x14ac:dyDescent="0.35">
      <c r="A44" s="20"/>
      <c r="B44" s="20"/>
      <c r="C44" s="8"/>
      <c r="D44" s="7"/>
    </row>
    <row r="45" spans="1:4" x14ac:dyDescent="0.35">
      <c r="A45" s="207" t="s">
        <v>35</v>
      </c>
      <c r="B45" s="208"/>
      <c r="C45" s="90" t="s">
        <v>6</v>
      </c>
      <c r="D45" s="90" t="s">
        <v>7</v>
      </c>
    </row>
    <row r="46" spans="1:4" ht="29" customHeight="1" x14ac:dyDescent="0.35">
      <c r="A46" s="176" t="s">
        <v>36</v>
      </c>
      <c r="B46" s="178"/>
      <c r="C46" s="14">
        <f>ROUND(C25*C37,5)</f>
        <v>8.8770000000000002E-2</v>
      </c>
      <c r="D46" s="5">
        <f>ROUND($D$13*C46,2)</f>
        <v>138.5</v>
      </c>
    </row>
    <row r="47" spans="1:4" x14ac:dyDescent="0.35">
      <c r="A47" s="198" t="s">
        <v>37</v>
      </c>
      <c r="B47" s="199"/>
      <c r="C47" s="30">
        <f>ROUND(SUM(C46),5)</f>
        <v>8.8770000000000002E-2</v>
      </c>
      <c r="D47" s="29">
        <f>ROUND(SUM(D46),2)</f>
        <v>138.5</v>
      </c>
    </row>
    <row r="48" spans="1:4" x14ac:dyDescent="0.35">
      <c r="A48" s="20"/>
      <c r="B48" s="20"/>
      <c r="C48" s="8"/>
      <c r="D48" s="7"/>
    </row>
    <row r="49" spans="1:4" x14ac:dyDescent="0.35">
      <c r="A49" s="207" t="s">
        <v>38</v>
      </c>
      <c r="B49" s="208"/>
      <c r="C49" s="90" t="s">
        <v>6</v>
      </c>
      <c r="D49" s="90" t="s">
        <v>7</v>
      </c>
    </row>
    <row r="50" spans="1:4" ht="65.5" customHeight="1" x14ac:dyDescent="0.35">
      <c r="A50" s="176" t="s">
        <v>39</v>
      </c>
      <c r="B50" s="178"/>
      <c r="C50" s="15">
        <f>ROUND(8%*C40,5)</f>
        <v>3.3E-4</v>
      </c>
      <c r="D50" s="5">
        <f>ROUND($D$13*C50,2)</f>
        <v>0.51</v>
      </c>
    </row>
    <row r="51" spans="1:4" x14ac:dyDescent="0.35">
      <c r="A51" s="198" t="s">
        <v>40</v>
      </c>
      <c r="B51" s="199"/>
      <c r="C51" s="30">
        <f>ROUND(SUM(C50:C50),5)</f>
        <v>3.3E-4</v>
      </c>
      <c r="D51" s="29">
        <f>ROUND(SUM(D50:D50),2)</f>
        <v>0.51</v>
      </c>
    </row>
    <row r="52" spans="1:4" x14ac:dyDescent="0.35">
      <c r="A52" s="20"/>
      <c r="B52" s="20"/>
      <c r="C52" s="8"/>
      <c r="D52" s="7"/>
    </row>
    <row r="53" spans="1:4" x14ac:dyDescent="0.35">
      <c r="A53" s="207" t="s">
        <v>41</v>
      </c>
      <c r="B53" s="208"/>
      <c r="C53" s="90" t="s">
        <v>6</v>
      </c>
      <c r="D53" s="90" t="s">
        <v>7</v>
      </c>
    </row>
    <row r="54" spans="1:4" ht="113" customHeight="1" x14ac:dyDescent="0.35">
      <c r="A54" s="176" t="s">
        <v>42</v>
      </c>
      <c r="B54" s="178"/>
      <c r="C54" s="14">
        <f>ROUND(C25*(13/12)*(4/12)*2/100,5)</f>
        <v>2.7299999999999998E-3</v>
      </c>
      <c r="D54" s="5">
        <f>ROUND($D$13*C54,2)</f>
        <v>4.26</v>
      </c>
    </row>
    <row r="55" spans="1:4" x14ac:dyDescent="0.35">
      <c r="A55" s="198" t="s">
        <v>43</v>
      </c>
      <c r="B55" s="199"/>
      <c r="C55" s="30">
        <f>ROUND(SUM(C54),5)</f>
        <v>2.7299999999999998E-3</v>
      </c>
      <c r="D55" s="29">
        <f>ROUND(SUM(D54),2)</f>
        <v>4.26</v>
      </c>
    </row>
    <row r="56" spans="1:4" x14ac:dyDescent="0.35">
      <c r="A56" s="198" t="s">
        <v>44</v>
      </c>
      <c r="B56" s="199"/>
      <c r="C56" s="30">
        <f>ROUND(C25+C37+C43+C47+C51+C55,5)</f>
        <v>0.74250000000000005</v>
      </c>
      <c r="D56" s="29">
        <f>ROUND(D25+D37+D43+D47+D51+D55,2)</f>
        <v>1158.44</v>
      </c>
    </row>
    <row r="57" spans="1:4" ht="15" customHeight="1" x14ac:dyDescent="0.35">
      <c r="A57" s="20"/>
      <c r="B57" s="20"/>
      <c r="C57" s="8"/>
      <c r="D57" s="7"/>
    </row>
    <row r="58" spans="1:4" ht="15" customHeight="1" x14ac:dyDescent="0.35">
      <c r="A58" s="198" t="s">
        <v>45</v>
      </c>
      <c r="B58" s="200"/>
      <c r="C58" s="199"/>
      <c r="D58" s="29">
        <f>D13+D56</f>
        <v>2718.62</v>
      </c>
    </row>
    <row r="59" spans="1:4" ht="15" customHeight="1" x14ac:dyDescent="0.35">
      <c r="A59" s="3"/>
      <c r="B59" s="3"/>
      <c r="C59" s="3"/>
      <c r="D59" s="3"/>
    </row>
    <row r="60" spans="1:4" ht="15" customHeight="1" x14ac:dyDescent="0.35">
      <c r="A60" s="202" t="s">
        <v>72</v>
      </c>
      <c r="B60" s="202"/>
      <c r="C60" s="202"/>
      <c r="D60" s="202"/>
    </row>
    <row r="61" spans="1:4" x14ac:dyDescent="0.35">
      <c r="A61" s="202" t="s">
        <v>46</v>
      </c>
      <c r="B61" s="202"/>
      <c r="C61" s="90" t="s">
        <v>218</v>
      </c>
      <c r="D61" s="92" t="s">
        <v>7</v>
      </c>
    </row>
    <row r="62" spans="1:4" ht="96" customHeight="1" x14ac:dyDescent="0.35">
      <c r="A62" s="206" t="s">
        <v>91</v>
      </c>
      <c r="B62" s="206"/>
      <c r="C62" s="33">
        <v>15</v>
      </c>
      <c r="D62" s="33">
        <f>ROUND(C62*22,2)</f>
        <v>330</v>
      </c>
    </row>
    <row r="63" spans="1:4" ht="53.5" customHeight="1" x14ac:dyDescent="0.35">
      <c r="A63" s="209" t="s">
        <v>92</v>
      </c>
      <c r="B63" s="209"/>
      <c r="C63" s="101">
        <v>0.1</v>
      </c>
      <c r="D63" s="49">
        <f>ROUND(D62*C63,2)*-1</f>
        <v>-33</v>
      </c>
    </row>
    <row r="64" spans="1:4" ht="29.5" customHeight="1" x14ac:dyDescent="0.35">
      <c r="A64" s="206" t="s">
        <v>78</v>
      </c>
      <c r="B64" s="206"/>
      <c r="C64" s="33">
        <v>100</v>
      </c>
      <c r="D64" s="33">
        <f>C64</f>
        <v>100</v>
      </c>
    </row>
    <row r="65" spans="1:4" ht="102.5" customHeight="1" x14ac:dyDescent="0.35">
      <c r="A65" s="205" t="s">
        <v>93</v>
      </c>
      <c r="B65" s="205"/>
      <c r="C65" s="102">
        <v>3.8</v>
      </c>
      <c r="D65" s="47">
        <f>ROUND(C65*2*22,2)</f>
        <v>167.2</v>
      </c>
    </row>
    <row r="66" spans="1:4" ht="62" customHeight="1" x14ac:dyDescent="0.35">
      <c r="A66" s="204" t="s">
        <v>94</v>
      </c>
      <c r="B66" s="204"/>
      <c r="C66" s="103">
        <v>0.06</v>
      </c>
      <c r="D66" s="34">
        <f>IF(D11*C66&gt;D65,"-",ROUND(D11*C66,2)*-1)</f>
        <v>-93.61</v>
      </c>
    </row>
    <row r="67" spans="1:4" ht="29.5" customHeight="1" x14ac:dyDescent="0.35">
      <c r="A67" s="205" t="s">
        <v>79</v>
      </c>
      <c r="B67" s="205"/>
      <c r="C67" s="102">
        <v>15</v>
      </c>
      <c r="D67" s="47">
        <f>C67</f>
        <v>15</v>
      </c>
    </row>
    <row r="68" spans="1:4" ht="44.5" customHeight="1" x14ac:dyDescent="0.35">
      <c r="A68" s="206" t="s">
        <v>219</v>
      </c>
      <c r="B68" s="206"/>
      <c r="C68" s="104">
        <v>10</v>
      </c>
      <c r="D68" s="33">
        <f>C68</f>
        <v>10</v>
      </c>
    </row>
    <row r="69" spans="1:4" ht="29.5" customHeight="1" x14ac:dyDescent="0.35">
      <c r="A69" s="205" t="s">
        <v>95</v>
      </c>
      <c r="B69" s="205"/>
      <c r="C69" s="102">
        <v>10</v>
      </c>
      <c r="D69" s="47">
        <f>C69</f>
        <v>10</v>
      </c>
    </row>
    <row r="70" spans="1:4" ht="25.5" customHeight="1" x14ac:dyDescent="0.35">
      <c r="A70" s="206" t="s">
        <v>47</v>
      </c>
      <c r="B70" s="206"/>
      <c r="C70" s="60" t="s">
        <v>60</v>
      </c>
      <c r="D70" s="33">
        <f>'Uniforme Tipo I'!F13</f>
        <v>82.32</v>
      </c>
    </row>
    <row r="71" spans="1:4" ht="25.5" customHeight="1" x14ac:dyDescent="0.35">
      <c r="A71" s="233" t="s">
        <v>265</v>
      </c>
      <c r="B71" s="234"/>
      <c r="C71" s="61" t="s">
        <v>60</v>
      </c>
      <c r="D71" s="45">
        <f>'Manutenção Equip.'!F7</f>
        <v>22.3</v>
      </c>
    </row>
    <row r="72" spans="1:4" ht="15" customHeight="1" x14ac:dyDescent="0.35">
      <c r="A72" s="217" t="s">
        <v>48</v>
      </c>
      <c r="B72" s="217"/>
      <c r="C72" s="217"/>
      <c r="D72" s="29">
        <f>ROUND(SUM(D62:D70),2)</f>
        <v>587.91</v>
      </c>
    </row>
    <row r="73" spans="1:4" x14ac:dyDescent="0.35">
      <c r="A73" s="20"/>
      <c r="B73" s="20"/>
      <c r="C73" s="20"/>
      <c r="D73" s="7"/>
    </row>
    <row r="74" spans="1:4" ht="30" customHeight="1" x14ac:dyDescent="0.35">
      <c r="A74" s="198" t="s">
        <v>49</v>
      </c>
      <c r="B74" s="200"/>
      <c r="C74" s="199"/>
      <c r="D74" s="29">
        <f>ROUND(D58+D72,2)</f>
        <v>3306.53</v>
      </c>
    </row>
    <row r="75" spans="1:4" x14ac:dyDescent="0.35">
      <c r="A75" s="20"/>
      <c r="B75" s="20"/>
      <c r="C75" s="20"/>
      <c r="D75" s="7"/>
    </row>
    <row r="76" spans="1:4" x14ac:dyDescent="0.35">
      <c r="A76" s="202" t="s">
        <v>88</v>
      </c>
      <c r="B76" s="202"/>
      <c r="C76" s="202"/>
      <c r="D76" s="202"/>
    </row>
    <row r="77" spans="1:4" x14ac:dyDescent="0.35">
      <c r="A77" s="207" t="s">
        <v>50</v>
      </c>
      <c r="B77" s="208"/>
      <c r="C77" s="90" t="s">
        <v>6</v>
      </c>
      <c r="D77" s="90" t="s">
        <v>7</v>
      </c>
    </row>
    <row r="78" spans="1:4" s="1" customFormat="1" ht="30" customHeight="1" x14ac:dyDescent="0.3">
      <c r="A78" s="176" t="s">
        <v>51</v>
      </c>
      <c r="B78" s="178"/>
      <c r="C78" s="13">
        <v>0.05</v>
      </c>
      <c r="D78" s="18">
        <f>ROUND(D74*C78,2)</f>
        <v>165.33</v>
      </c>
    </row>
    <row r="79" spans="1:4" s="1" customFormat="1" ht="30" customHeight="1" x14ac:dyDescent="0.3">
      <c r="A79" s="196" t="s">
        <v>9</v>
      </c>
      <c r="B79" s="197"/>
      <c r="C79" s="41">
        <v>0.1</v>
      </c>
      <c r="D79" s="44">
        <f>ROUND(D74*C79,2)</f>
        <v>330.65</v>
      </c>
    </row>
    <row r="80" spans="1:4" x14ac:dyDescent="0.35">
      <c r="A80" s="198" t="s">
        <v>52</v>
      </c>
      <c r="B80" s="199"/>
      <c r="C80" s="31">
        <f>ROUND(SUM(C78:C79),5)</f>
        <v>0.15</v>
      </c>
      <c r="D80" s="29">
        <f>SUM(D78:D79)</f>
        <v>495.98</v>
      </c>
    </row>
    <row r="81" spans="1:4" x14ac:dyDescent="0.35">
      <c r="A81" s="20"/>
      <c r="B81" s="20"/>
      <c r="C81" s="6"/>
      <c r="D81" s="7"/>
    </row>
    <row r="82" spans="1:4" ht="30" customHeight="1" x14ac:dyDescent="0.35">
      <c r="A82" s="198" t="s">
        <v>73</v>
      </c>
      <c r="B82" s="200"/>
      <c r="C82" s="199"/>
      <c r="D82" s="29">
        <f>ROUND(D74+D80,2)</f>
        <v>3802.51</v>
      </c>
    </row>
    <row r="83" spans="1:4" x14ac:dyDescent="0.35">
      <c r="A83" s="20"/>
      <c r="B83" s="20"/>
      <c r="C83" s="20"/>
      <c r="D83" s="7"/>
    </row>
    <row r="84" spans="1:4" ht="35.25" customHeight="1" x14ac:dyDescent="0.35">
      <c r="A84" s="235" t="s">
        <v>63</v>
      </c>
      <c r="B84" s="235"/>
      <c r="C84" s="30">
        <f>ROUND(1-(SUM(C87:C89)/1),5)</f>
        <v>0.91349999999999998</v>
      </c>
      <c r="D84" s="29">
        <f>ROUND(D82/C84,2)</f>
        <v>4162.57</v>
      </c>
    </row>
    <row r="85" spans="1:4" x14ac:dyDescent="0.35">
      <c r="A85" s="3"/>
      <c r="B85" s="3"/>
      <c r="C85" s="3"/>
      <c r="D85" s="3"/>
    </row>
    <row r="86" spans="1:4" x14ac:dyDescent="0.35">
      <c r="A86" s="207" t="s">
        <v>53</v>
      </c>
      <c r="B86" s="208"/>
      <c r="C86" s="90" t="s">
        <v>6</v>
      </c>
      <c r="D86" s="90" t="s">
        <v>7</v>
      </c>
    </row>
    <row r="87" spans="1:4" ht="22" customHeight="1" x14ac:dyDescent="0.35">
      <c r="A87" s="176" t="s">
        <v>54</v>
      </c>
      <c r="B87" s="178"/>
      <c r="C87" s="13">
        <v>0.05</v>
      </c>
      <c r="D87" s="5">
        <f>ROUND($D$84*C87,2)</f>
        <v>208.13</v>
      </c>
    </row>
    <row r="88" spans="1:4" ht="22" customHeight="1" x14ac:dyDescent="0.35">
      <c r="A88" s="196" t="s">
        <v>55</v>
      </c>
      <c r="B88" s="197"/>
      <c r="C88" s="41">
        <v>0.03</v>
      </c>
      <c r="D88" s="42">
        <f>ROUND($D$84*C88,2)</f>
        <v>124.88</v>
      </c>
    </row>
    <row r="89" spans="1:4" ht="22" customHeight="1" x14ac:dyDescent="0.35">
      <c r="A89" s="176" t="s">
        <v>56</v>
      </c>
      <c r="B89" s="178"/>
      <c r="C89" s="13">
        <v>6.4999999999999997E-3</v>
      </c>
      <c r="D89" s="5">
        <f>ROUND($D$84*C89,2)</f>
        <v>27.06</v>
      </c>
    </row>
    <row r="90" spans="1:4" x14ac:dyDescent="0.35">
      <c r="A90" s="198" t="s">
        <v>57</v>
      </c>
      <c r="B90" s="199"/>
      <c r="C90" s="30">
        <f>ROUND(SUM(C87:C89),5)</f>
        <v>8.6499999999999994E-2</v>
      </c>
      <c r="D90" s="29">
        <f>ROUND(SUM(D87:D89),2)</f>
        <v>360.07</v>
      </c>
    </row>
    <row r="91" spans="1:4" ht="10" customHeight="1" x14ac:dyDescent="0.35">
      <c r="A91" s="3"/>
      <c r="B91" s="3"/>
      <c r="C91" s="3"/>
      <c r="D91" s="3"/>
    </row>
    <row r="92" spans="1:4" ht="25" customHeight="1" x14ac:dyDescent="0.35">
      <c r="A92" s="198" t="s">
        <v>58</v>
      </c>
      <c r="B92" s="200"/>
      <c r="C92" s="199"/>
      <c r="D92" s="29">
        <f>ROUND(D82+D90,2)</f>
        <v>4162.58</v>
      </c>
    </row>
    <row r="93" spans="1:4" ht="25" customHeight="1" x14ac:dyDescent="0.35">
      <c r="A93" s="198" t="s">
        <v>64</v>
      </c>
      <c r="B93" s="200"/>
      <c r="C93" s="199"/>
      <c r="D93" s="29">
        <f>ROUND(D92*12,2)</f>
        <v>49950.96</v>
      </c>
    </row>
    <row r="94" spans="1:4" ht="10" customHeight="1" x14ac:dyDescent="0.35">
      <c r="A94" s="20"/>
      <c r="B94" s="20"/>
      <c r="C94" s="20"/>
      <c r="D94" s="7"/>
    </row>
    <row r="95" spans="1:4" ht="15" customHeight="1" x14ac:dyDescent="0.35">
      <c r="A95" s="202" t="s">
        <v>59</v>
      </c>
      <c r="B95" s="202"/>
      <c r="C95" s="202"/>
      <c r="D95" s="27" t="s">
        <v>6</v>
      </c>
    </row>
    <row r="96" spans="1:4" ht="15" customHeight="1" x14ac:dyDescent="0.35">
      <c r="A96" s="201" t="s">
        <v>74</v>
      </c>
      <c r="B96" s="201"/>
      <c r="C96" s="201"/>
      <c r="D96" s="17">
        <f>C25</f>
        <v>0.378</v>
      </c>
    </row>
    <row r="97" spans="1:4" ht="15" customHeight="1" x14ac:dyDescent="0.35">
      <c r="A97" s="203" t="s">
        <v>29</v>
      </c>
      <c r="B97" s="203"/>
      <c r="C97" s="203"/>
      <c r="D97" s="43">
        <f>C37</f>
        <v>0.23483000000000001</v>
      </c>
    </row>
    <row r="98" spans="1:4" ht="15" customHeight="1" x14ac:dyDescent="0.35">
      <c r="A98" s="201" t="s">
        <v>34</v>
      </c>
      <c r="B98" s="201"/>
      <c r="C98" s="201"/>
      <c r="D98" s="17">
        <f>C43</f>
        <v>3.7839999999999999E-2</v>
      </c>
    </row>
    <row r="99" spans="1:4" ht="15" customHeight="1" x14ac:dyDescent="0.35">
      <c r="A99" s="203" t="s">
        <v>37</v>
      </c>
      <c r="B99" s="203"/>
      <c r="C99" s="203"/>
      <c r="D99" s="43">
        <f>C47</f>
        <v>8.8770000000000002E-2</v>
      </c>
    </row>
    <row r="100" spans="1:4" ht="15" customHeight="1" x14ac:dyDescent="0.35">
      <c r="A100" s="201" t="s">
        <v>40</v>
      </c>
      <c r="B100" s="201"/>
      <c r="C100" s="201"/>
      <c r="D100" s="17">
        <f>C51</f>
        <v>3.3E-4</v>
      </c>
    </row>
    <row r="101" spans="1:4" ht="15" customHeight="1" x14ac:dyDescent="0.35">
      <c r="A101" s="203" t="s">
        <v>43</v>
      </c>
      <c r="B101" s="203"/>
      <c r="C101" s="203"/>
      <c r="D101" s="43">
        <f>C55</f>
        <v>2.7299999999999998E-3</v>
      </c>
    </row>
    <row r="102" spans="1:4" ht="15" customHeight="1" x14ac:dyDescent="0.35">
      <c r="A102" s="236" t="s">
        <v>75</v>
      </c>
      <c r="B102" s="236"/>
      <c r="C102" s="236"/>
      <c r="D102" s="28">
        <f>ROUND(SUM(D96:D101),5)</f>
        <v>0.74250000000000005</v>
      </c>
    </row>
    <row r="103" spans="1:4" ht="10" customHeight="1" x14ac:dyDescent="0.35"/>
    <row r="104" spans="1:4" x14ac:dyDescent="0.35">
      <c r="A104" s="207" t="s">
        <v>268</v>
      </c>
      <c r="B104" s="208"/>
      <c r="C104" s="90" t="s">
        <v>269</v>
      </c>
      <c r="D104" s="27" t="s">
        <v>6</v>
      </c>
    </row>
    <row r="105" spans="1:4" x14ac:dyDescent="0.35">
      <c r="A105" s="212" t="s">
        <v>270</v>
      </c>
      <c r="B105" s="213"/>
      <c r="C105" s="110">
        <f>D13</f>
        <v>1560.18</v>
      </c>
      <c r="D105" s="17">
        <f>ROUND(C105/$C$109,5)</f>
        <v>0.37480999999999998</v>
      </c>
    </row>
    <row r="106" spans="1:4" ht="24.5" customHeight="1" x14ac:dyDescent="0.35">
      <c r="A106" s="229" t="s">
        <v>271</v>
      </c>
      <c r="B106" s="230"/>
      <c r="C106" s="111">
        <f>D56</f>
        <v>1158.44</v>
      </c>
      <c r="D106" s="43">
        <f>ROUND(C106/$C$109,5)</f>
        <v>0.27829999999999999</v>
      </c>
    </row>
    <row r="107" spans="1:4" x14ac:dyDescent="0.35">
      <c r="A107" s="212" t="s">
        <v>272</v>
      </c>
      <c r="B107" s="213"/>
      <c r="C107" s="110">
        <f>D72</f>
        <v>587.91</v>
      </c>
      <c r="D107" s="17">
        <f>ROUND(C107/$C$109,5)</f>
        <v>0.14124</v>
      </c>
    </row>
    <row r="108" spans="1:4" x14ac:dyDescent="0.35">
      <c r="A108" s="229" t="s">
        <v>273</v>
      </c>
      <c r="B108" s="230"/>
      <c r="C108" s="111">
        <f>ROUND(D80+D90,2)</f>
        <v>856.05</v>
      </c>
      <c r="D108" s="43">
        <f>ROUND(C108/$C$109,5)</f>
        <v>0.20565</v>
      </c>
    </row>
    <row r="109" spans="1:4" x14ac:dyDescent="0.35">
      <c r="A109" s="231" t="s">
        <v>274</v>
      </c>
      <c r="B109" s="232"/>
      <c r="C109" s="112">
        <f>ROUND(SUM(C105:C108),2)</f>
        <v>4162.58</v>
      </c>
      <c r="D109" s="30">
        <f>ROUND(SUM(D105:D108),5)</f>
        <v>1</v>
      </c>
    </row>
  </sheetData>
  <mergeCells count="92">
    <mergeCell ref="A104:B104"/>
    <mergeCell ref="A98:C98"/>
    <mergeCell ref="A99:C99"/>
    <mergeCell ref="A100:C100"/>
    <mergeCell ref="A101:C101"/>
    <mergeCell ref="A102:C102"/>
    <mergeCell ref="A105:B105"/>
    <mergeCell ref="A106:B106"/>
    <mergeCell ref="A107:B107"/>
    <mergeCell ref="A108:B108"/>
    <mergeCell ref="A109:B109"/>
    <mergeCell ref="A97:C97"/>
    <mergeCell ref="A80:B80"/>
    <mergeCell ref="A82:C82"/>
    <mergeCell ref="A84:B84"/>
    <mergeCell ref="A86:B86"/>
    <mergeCell ref="A90:B90"/>
    <mergeCell ref="A92:C92"/>
    <mergeCell ref="A93:C93"/>
    <mergeCell ref="A95:C95"/>
    <mergeCell ref="A96:C96"/>
    <mergeCell ref="A87:B87"/>
    <mergeCell ref="A88:B88"/>
    <mergeCell ref="A89:B89"/>
    <mergeCell ref="A74:C74"/>
    <mergeCell ref="A76:D76"/>
    <mergeCell ref="A77:B77"/>
    <mergeCell ref="A78:B78"/>
    <mergeCell ref="A79:B79"/>
    <mergeCell ref="A68:B68"/>
    <mergeCell ref="A69:B69"/>
    <mergeCell ref="A70:B70"/>
    <mergeCell ref="A71:B71"/>
    <mergeCell ref="A72:C72"/>
    <mergeCell ref="A58:C58"/>
    <mergeCell ref="A46:B46"/>
    <mergeCell ref="A47:B47"/>
    <mergeCell ref="A49:B49"/>
    <mergeCell ref="A67:B67"/>
    <mergeCell ref="A60:D60"/>
    <mergeCell ref="A61:B61"/>
    <mergeCell ref="A62:B62"/>
    <mergeCell ref="A63:B63"/>
    <mergeCell ref="A64:B64"/>
    <mergeCell ref="A65:B65"/>
    <mergeCell ref="A66:B66"/>
    <mergeCell ref="A51:B51"/>
    <mergeCell ref="A53:B53"/>
    <mergeCell ref="A54:B54"/>
    <mergeCell ref="A55:B55"/>
    <mergeCell ref="A56:B56"/>
    <mergeCell ref="A31:B31"/>
    <mergeCell ref="A32:B32"/>
    <mergeCell ref="A33:B33"/>
    <mergeCell ref="A50:B50"/>
    <mergeCell ref="A40:B40"/>
    <mergeCell ref="A41:B41"/>
    <mergeCell ref="A42:B42"/>
    <mergeCell ref="A43:B43"/>
    <mergeCell ref="A45:B45"/>
    <mergeCell ref="A34:B34"/>
    <mergeCell ref="A35:B35"/>
    <mergeCell ref="A36:B36"/>
    <mergeCell ref="A37:B37"/>
    <mergeCell ref="A39:B39"/>
    <mergeCell ref="A25:B25"/>
    <mergeCell ref="A27:B27"/>
    <mergeCell ref="A28:B28"/>
    <mergeCell ref="A29:B29"/>
    <mergeCell ref="A30:B30"/>
    <mergeCell ref="A23:B23"/>
    <mergeCell ref="A24:B24"/>
    <mergeCell ref="A13:C13"/>
    <mergeCell ref="A15:D15"/>
    <mergeCell ref="A16:B16"/>
    <mergeCell ref="A17:B17"/>
    <mergeCell ref="A18:B18"/>
    <mergeCell ref="B6:D6"/>
    <mergeCell ref="A19:B19"/>
    <mergeCell ref="A20:B20"/>
    <mergeCell ref="A21:B21"/>
    <mergeCell ref="A22:B22"/>
    <mergeCell ref="A8:D8"/>
    <mergeCell ref="A9:D9"/>
    <mergeCell ref="A10:B10"/>
    <mergeCell ref="A11:B11"/>
    <mergeCell ref="A12:B12"/>
    <mergeCell ref="A1:D1"/>
    <mergeCell ref="B2:D2"/>
    <mergeCell ref="B3:D3"/>
    <mergeCell ref="B4:D4"/>
    <mergeCell ref="B5:D5"/>
  </mergeCells>
  <pageMargins left="0.23622047244094491" right="0.23622047244094491" top="1.3385826771653544" bottom="0.74803149606299213" header="0.9055118110236221" footer="0.31496062992125984"/>
  <pageSetup fitToHeight="0" orientation="landscape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FA31F-7186-4095-AF64-CCB9E60670EA}">
  <sheetPr codeName="Planilha10">
    <pageSetUpPr fitToPage="1"/>
  </sheetPr>
  <dimension ref="A1:D109"/>
  <sheetViews>
    <sheetView view="pageBreakPreview" zoomScaleNormal="100" zoomScaleSheetLayoutView="100" workbookViewId="0">
      <selection activeCell="E3" sqref="E1:L1048576"/>
    </sheetView>
  </sheetViews>
  <sheetFormatPr defaultRowHeight="14.5" x14ac:dyDescent="0.35"/>
  <cols>
    <col min="1" max="1" width="33.453125" customWidth="1"/>
    <col min="2" max="2" width="14.54296875" customWidth="1"/>
    <col min="3" max="3" width="10.81640625" customWidth="1"/>
    <col min="4" max="4" width="12.26953125" customWidth="1"/>
  </cols>
  <sheetData>
    <row r="1" spans="1:4" ht="22.5" customHeight="1" x14ac:dyDescent="0.35">
      <c r="A1" s="218" t="s">
        <v>0</v>
      </c>
      <c r="B1" s="218"/>
      <c r="C1" s="218"/>
      <c r="D1" s="218"/>
    </row>
    <row r="2" spans="1:4" ht="30.5" customHeight="1" x14ac:dyDescent="0.35">
      <c r="A2" s="23" t="s">
        <v>2</v>
      </c>
      <c r="B2" s="214" t="str">
        <f>'Quantidade de Cargo'!A8</f>
        <v>Assistente Administrativo II</v>
      </c>
      <c r="C2" s="215"/>
      <c r="D2" s="216"/>
    </row>
    <row r="3" spans="1:4" ht="15" customHeight="1" x14ac:dyDescent="0.35">
      <c r="A3" s="23" t="s">
        <v>61</v>
      </c>
      <c r="B3" s="219" t="str">
        <f>'Salario Base'!B11</f>
        <v>4110-10</v>
      </c>
      <c r="C3" s="220"/>
      <c r="D3" s="221"/>
    </row>
    <row r="4" spans="1:4" ht="15" customHeight="1" x14ac:dyDescent="0.35">
      <c r="A4" s="24" t="s">
        <v>1</v>
      </c>
      <c r="B4" s="214" t="s">
        <v>143</v>
      </c>
      <c r="C4" s="215"/>
      <c r="D4" s="216"/>
    </row>
    <row r="5" spans="1:4" ht="26" x14ac:dyDescent="0.35">
      <c r="A5" s="24" t="s">
        <v>3</v>
      </c>
      <c r="B5" s="222">
        <v>1</v>
      </c>
      <c r="C5" s="220"/>
      <c r="D5" s="221"/>
    </row>
    <row r="6" spans="1:4" ht="65.5" customHeight="1" x14ac:dyDescent="0.35">
      <c r="A6" s="24" t="s">
        <v>62</v>
      </c>
      <c r="B6" s="214" t="s">
        <v>217</v>
      </c>
      <c r="C6" s="215"/>
      <c r="D6" s="216"/>
    </row>
    <row r="7" spans="1:4" ht="15" customHeight="1" x14ac:dyDescent="0.35">
      <c r="A7" s="2"/>
      <c r="B7" s="16"/>
      <c r="C7" s="3"/>
      <c r="D7" s="3"/>
    </row>
    <row r="8" spans="1:4" x14ac:dyDescent="0.35">
      <c r="A8" s="223" t="s">
        <v>4</v>
      </c>
      <c r="B8" s="223"/>
      <c r="C8" s="223"/>
      <c r="D8" s="223"/>
    </row>
    <row r="9" spans="1:4" x14ac:dyDescent="0.35">
      <c r="A9" s="224" t="s">
        <v>70</v>
      </c>
      <c r="B9" s="225"/>
      <c r="C9" s="225"/>
      <c r="D9" s="226"/>
    </row>
    <row r="10" spans="1:4" x14ac:dyDescent="0.35">
      <c r="A10" s="227" t="s">
        <v>5</v>
      </c>
      <c r="B10" s="228"/>
      <c r="C10" s="90" t="s">
        <v>6</v>
      </c>
      <c r="D10" s="90" t="s">
        <v>7</v>
      </c>
    </row>
    <row r="11" spans="1:4" ht="40.5" customHeight="1" x14ac:dyDescent="0.35">
      <c r="A11" s="176" t="s">
        <v>8</v>
      </c>
      <c r="B11" s="178"/>
      <c r="C11" s="91" t="s">
        <v>60</v>
      </c>
      <c r="D11" s="4">
        <f>'Salario Base'!D11</f>
        <v>2700.5</v>
      </c>
    </row>
    <row r="12" spans="1:4" ht="15" customHeight="1" x14ac:dyDescent="0.35">
      <c r="A12" s="229" t="s">
        <v>66</v>
      </c>
      <c r="B12" s="230"/>
      <c r="C12" s="53"/>
      <c r="D12" s="42">
        <f>C12*D11/100</f>
        <v>0</v>
      </c>
    </row>
    <row r="13" spans="1:4" x14ac:dyDescent="0.35">
      <c r="A13" s="217" t="s">
        <v>20</v>
      </c>
      <c r="B13" s="217"/>
      <c r="C13" s="217"/>
      <c r="D13" s="29">
        <f>ROUND(SUM(D11:D12),2)</f>
        <v>2700.5</v>
      </c>
    </row>
    <row r="14" spans="1:4" x14ac:dyDescent="0.35">
      <c r="A14" s="3"/>
      <c r="B14" s="3"/>
      <c r="C14" s="3"/>
      <c r="D14" s="3"/>
    </row>
    <row r="15" spans="1:4" x14ac:dyDescent="0.35">
      <c r="A15" s="202" t="s">
        <v>71</v>
      </c>
      <c r="B15" s="202"/>
      <c r="C15" s="202"/>
      <c r="D15" s="202"/>
    </row>
    <row r="16" spans="1:4" x14ac:dyDescent="0.35">
      <c r="A16" s="202" t="s">
        <v>10</v>
      </c>
      <c r="B16" s="202"/>
      <c r="C16" s="90" t="s">
        <v>6</v>
      </c>
      <c r="D16" s="90" t="s">
        <v>7</v>
      </c>
    </row>
    <row r="17" spans="1:4" x14ac:dyDescent="0.35">
      <c r="A17" s="176" t="s">
        <v>11</v>
      </c>
      <c r="B17" s="178"/>
      <c r="C17" s="11">
        <v>0.2</v>
      </c>
      <c r="D17" s="5">
        <f>ROUND($D$13*C17,2)</f>
        <v>540.1</v>
      </c>
    </row>
    <row r="18" spans="1:4" x14ac:dyDescent="0.35">
      <c r="A18" s="196" t="s">
        <v>12</v>
      </c>
      <c r="B18" s="197"/>
      <c r="C18" s="52">
        <v>0.08</v>
      </c>
      <c r="D18" s="42">
        <f t="shared" ref="D18:D24" si="0">ROUND($D$13*C18,2)</f>
        <v>216.04</v>
      </c>
    </row>
    <row r="19" spans="1:4" x14ac:dyDescent="0.35">
      <c r="A19" s="176" t="s">
        <v>13</v>
      </c>
      <c r="B19" s="178"/>
      <c r="C19" s="11">
        <v>1.4999999999999999E-2</v>
      </c>
      <c r="D19" s="5">
        <f t="shared" si="0"/>
        <v>40.51</v>
      </c>
    </row>
    <row r="20" spans="1:4" ht="25.5" customHeight="1" x14ac:dyDescent="0.35">
      <c r="A20" s="196" t="s">
        <v>14</v>
      </c>
      <c r="B20" s="197"/>
      <c r="C20" s="52">
        <v>0.01</v>
      </c>
      <c r="D20" s="42">
        <f t="shared" si="0"/>
        <v>27.01</v>
      </c>
    </row>
    <row r="21" spans="1:4" ht="28.5" customHeight="1" x14ac:dyDescent="0.35">
      <c r="A21" s="176" t="s">
        <v>15</v>
      </c>
      <c r="B21" s="178"/>
      <c r="C21" s="11">
        <v>2E-3</v>
      </c>
      <c r="D21" s="5">
        <f t="shared" si="0"/>
        <v>5.4</v>
      </c>
    </row>
    <row r="22" spans="1:4" x14ac:dyDescent="0.35">
      <c r="A22" s="196" t="s">
        <v>16</v>
      </c>
      <c r="B22" s="197"/>
      <c r="C22" s="52">
        <v>6.0000000000000001E-3</v>
      </c>
      <c r="D22" s="42">
        <f t="shared" si="0"/>
        <v>16.2</v>
      </c>
    </row>
    <row r="23" spans="1:4" x14ac:dyDescent="0.35">
      <c r="A23" s="212" t="s">
        <v>17</v>
      </c>
      <c r="B23" s="213"/>
      <c r="C23" s="11">
        <v>2.5000000000000001E-2</v>
      </c>
      <c r="D23" s="5">
        <f t="shared" si="0"/>
        <v>67.510000000000005</v>
      </c>
    </row>
    <row r="24" spans="1:4" ht="39.75" customHeight="1" x14ac:dyDescent="0.35">
      <c r="A24" s="229" t="s">
        <v>18</v>
      </c>
      <c r="B24" s="230"/>
      <c r="C24" s="50">
        <v>0.04</v>
      </c>
      <c r="D24" s="42">
        <f t="shared" si="0"/>
        <v>108.02</v>
      </c>
    </row>
    <row r="25" spans="1:4" x14ac:dyDescent="0.35">
      <c r="A25" s="198" t="s">
        <v>19</v>
      </c>
      <c r="B25" s="199"/>
      <c r="C25" s="30">
        <f>ROUND(SUM(C17:C24),5)</f>
        <v>0.378</v>
      </c>
      <c r="D25" s="29">
        <f>ROUND(SUM(D17:D24),2)</f>
        <v>1020.79</v>
      </c>
    </row>
    <row r="26" spans="1:4" x14ac:dyDescent="0.35">
      <c r="A26" s="20"/>
      <c r="B26" s="20"/>
      <c r="C26" s="6"/>
      <c r="D26" s="7"/>
    </row>
    <row r="27" spans="1:4" x14ac:dyDescent="0.35">
      <c r="A27" s="202" t="s">
        <v>21</v>
      </c>
      <c r="B27" s="202"/>
      <c r="C27" s="90" t="s">
        <v>6</v>
      </c>
      <c r="D27" s="90" t="s">
        <v>7</v>
      </c>
    </row>
    <row r="28" spans="1:4" ht="25" customHeight="1" x14ac:dyDescent="0.35">
      <c r="A28" s="212" t="s">
        <v>22</v>
      </c>
      <c r="B28" s="213"/>
      <c r="C28" s="9">
        <f>ROUND(1/12,5)</f>
        <v>8.3330000000000001E-2</v>
      </c>
      <c r="D28" s="5">
        <f>ROUND($D$13*C28,2)</f>
        <v>225.03</v>
      </c>
    </row>
    <row r="29" spans="1:4" ht="25" customHeight="1" x14ac:dyDescent="0.35">
      <c r="A29" s="196" t="s">
        <v>263</v>
      </c>
      <c r="B29" s="197"/>
      <c r="C29" s="51">
        <f>ROUND((1/3)/12,5)</f>
        <v>2.7779999999999999E-2</v>
      </c>
      <c r="D29" s="42">
        <f t="shared" ref="D29:D36" si="1">ROUND($D$13*C29,2)</f>
        <v>75.02</v>
      </c>
    </row>
    <row r="30" spans="1:4" ht="25" customHeight="1" x14ac:dyDescent="0.35">
      <c r="A30" s="176" t="s">
        <v>23</v>
      </c>
      <c r="B30" s="178"/>
      <c r="C30" s="10">
        <f>ROUND((((100% / 30) * 7) / 12),5)</f>
        <v>1.9439999999999999E-2</v>
      </c>
      <c r="D30" s="5">
        <f t="shared" si="1"/>
        <v>52.5</v>
      </c>
    </row>
    <row r="31" spans="1:4" ht="25" customHeight="1" x14ac:dyDescent="0.35">
      <c r="A31" s="196" t="s">
        <v>24</v>
      </c>
      <c r="B31" s="197"/>
      <c r="C31" s="51">
        <f>ROUND((5/30)/12,5)</f>
        <v>1.389E-2</v>
      </c>
      <c r="D31" s="42">
        <f t="shared" si="1"/>
        <v>37.51</v>
      </c>
    </row>
    <row r="32" spans="1:4" ht="25" customHeight="1" x14ac:dyDescent="0.35">
      <c r="A32" s="176" t="s">
        <v>25</v>
      </c>
      <c r="B32" s="178"/>
      <c r="C32" s="10">
        <f>ROUND(((15/30/12)*0.08),5)</f>
        <v>3.3300000000000001E-3</v>
      </c>
      <c r="D32" s="5">
        <f t="shared" si="1"/>
        <v>8.99</v>
      </c>
    </row>
    <row r="33" spans="1:4" ht="25" customHeight="1" x14ac:dyDescent="0.35">
      <c r="A33" s="196" t="s">
        <v>26</v>
      </c>
      <c r="B33" s="197"/>
      <c r="C33" s="51">
        <f>ROUND((1/30)/12,5)</f>
        <v>2.7799999999999999E-3</v>
      </c>
      <c r="D33" s="42">
        <f t="shared" si="1"/>
        <v>7.51</v>
      </c>
    </row>
    <row r="34" spans="1:4" ht="25" customHeight="1" x14ac:dyDescent="0.35">
      <c r="A34" s="176" t="s">
        <v>27</v>
      </c>
      <c r="B34" s="178"/>
      <c r="C34" s="10">
        <f>ROUND(0.1111*0.02*0.333,5)</f>
        <v>7.3999999999999999E-4</v>
      </c>
      <c r="D34" s="5">
        <f t="shared" si="1"/>
        <v>2</v>
      </c>
    </row>
    <row r="35" spans="1:4" ht="25" customHeight="1" x14ac:dyDescent="0.35">
      <c r="A35" s="196" t="s">
        <v>28</v>
      </c>
      <c r="B35" s="197"/>
      <c r="C35" s="51">
        <f>ROUND(((5/30)/12)*0.015,5)</f>
        <v>2.1000000000000001E-4</v>
      </c>
      <c r="D35" s="42">
        <f t="shared" si="1"/>
        <v>0.56999999999999995</v>
      </c>
    </row>
    <row r="36" spans="1:4" ht="25" customHeight="1" x14ac:dyDescent="0.35">
      <c r="A36" s="176" t="s">
        <v>264</v>
      </c>
      <c r="B36" s="178"/>
      <c r="C36" s="10">
        <f>ROUND(1/12,5)</f>
        <v>8.3330000000000001E-2</v>
      </c>
      <c r="D36" s="5">
        <f t="shared" si="1"/>
        <v>225.03</v>
      </c>
    </row>
    <row r="37" spans="1:4" x14ac:dyDescent="0.35">
      <c r="A37" s="198" t="s">
        <v>29</v>
      </c>
      <c r="B37" s="199"/>
      <c r="C37" s="30">
        <f>ROUND(SUM(C28:C36),5)</f>
        <v>0.23483000000000001</v>
      </c>
      <c r="D37" s="29">
        <f>ROUND(SUM(D28:D36),2)</f>
        <v>634.16</v>
      </c>
    </row>
    <row r="38" spans="1:4" x14ac:dyDescent="0.35">
      <c r="A38" s="20"/>
      <c r="B38" s="20"/>
      <c r="C38" s="8"/>
      <c r="D38" s="7"/>
    </row>
    <row r="39" spans="1:4" x14ac:dyDescent="0.35">
      <c r="A39" s="207" t="s">
        <v>30</v>
      </c>
      <c r="B39" s="208"/>
      <c r="C39" s="90" t="s">
        <v>6</v>
      </c>
      <c r="D39" s="90" t="s">
        <v>7</v>
      </c>
    </row>
    <row r="40" spans="1:4" ht="25" customHeight="1" x14ac:dyDescent="0.35">
      <c r="A40" s="210" t="s">
        <v>31</v>
      </c>
      <c r="B40" s="211"/>
      <c r="C40" s="12">
        <f>ROUND(1/12*5%,5)</f>
        <v>4.1700000000000001E-3</v>
      </c>
      <c r="D40" s="54">
        <f>ROUND($D$13*C40,2)</f>
        <v>11.26</v>
      </c>
    </row>
    <row r="41" spans="1:4" ht="25" customHeight="1" x14ac:dyDescent="0.35">
      <c r="A41" s="196" t="s">
        <v>32</v>
      </c>
      <c r="B41" s="197"/>
      <c r="C41" s="50">
        <f>ROUND(0.02*(1/12),5)</f>
        <v>1.67E-3</v>
      </c>
      <c r="D41" s="42">
        <f>ROUND($D$13*C41,2)</f>
        <v>4.51</v>
      </c>
    </row>
    <row r="42" spans="1:4" ht="25" customHeight="1" x14ac:dyDescent="0.35">
      <c r="A42" s="210" t="s">
        <v>33</v>
      </c>
      <c r="B42" s="211"/>
      <c r="C42" s="15">
        <f>ROUND(40%*8%,5)</f>
        <v>3.2000000000000001E-2</v>
      </c>
      <c r="D42" s="54">
        <f>ROUND($D$13*C42,2)</f>
        <v>86.42</v>
      </c>
    </row>
    <row r="43" spans="1:4" x14ac:dyDescent="0.35">
      <c r="A43" s="198" t="s">
        <v>34</v>
      </c>
      <c r="B43" s="199"/>
      <c r="C43" s="30">
        <f>ROUND(SUM(C40:C42),5)</f>
        <v>3.7839999999999999E-2</v>
      </c>
      <c r="D43" s="29">
        <f>ROUND(SUM(D40:D42),2)</f>
        <v>102.19</v>
      </c>
    </row>
    <row r="44" spans="1:4" x14ac:dyDescent="0.35">
      <c r="A44" s="20"/>
      <c r="B44" s="20"/>
      <c r="C44" s="8"/>
      <c r="D44" s="7"/>
    </row>
    <row r="45" spans="1:4" x14ac:dyDescent="0.35">
      <c r="A45" s="207" t="s">
        <v>35</v>
      </c>
      <c r="B45" s="208"/>
      <c r="C45" s="90" t="s">
        <v>6</v>
      </c>
      <c r="D45" s="90" t="s">
        <v>7</v>
      </c>
    </row>
    <row r="46" spans="1:4" ht="29" customHeight="1" x14ac:dyDescent="0.35">
      <c r="A46" s="176" t="s">
        <v>36</v>
      </c>
      <c r="B46" s="178"/>
      <c r="C46" s="14">
        <f>ROUND(C25*C37,5)</f>
        <v>8.8770000000000002E-2</v>
      </c>
      <c r="D46" s="5">
        <f>ROUND($D$13*C46,2)</f>
        <v>239.72</v>
      </c>
    </row>
    <row r="47" spans="1:4" x14ac:dyDescent="0.35">
      <c r="A47" s="198" t="s">
        <v>37</v>
      </c>
      <c r="B47" s="199"/>
      <c r="C47" s="30">
        <f>ROUND(SUM(C46),5)</f>
        <v>8.8770000000000002E-2</v>
      </c>
      <c r="D47" s="29">
        <f>ROUND(SUM(D46),2)</f>
        <v>239.72</v>
      </c>
    </row>
    <row r="48" spans="1:4" x14ac:dyDescent="0.35">
      <c r="A48" s="20"/>
      <c r="B48" s="20"/>
      <c r="C48" s="8"/>
      <c r="D48" s="7"/>
    </row>
    <row r="49" spans="1:4" x14ac:dyDescent="0.35">
      <c r="A49" s="207" t="s">
        <v>38</v>
      </c>
      <c r="B49" s="208"/>
      <c r="C49" s="90" t="s">
        <v>6</v>
      </c>
      <c r="D49" s="90" t="s">
        <v>7</v>
      </c>
    </row>
    <row r="50" spans="1:4" ht="65.5" customHeight="1" x14ac:dyDescent="0.35">
      <c r="A50" s="176" t="s">
        <v>39</v>
      </c>
      <c r="B50" s="178"/>
      <c r="C50" s="15">
        <f>ROUND(8%*C40,5)</f>
        <v>3.3E-4</v>
      </c>
      <c r="D50" s="5">
        <f>ROUND($D$13*C50,2)</f>
        <v>0.89</v>
      </c>
    </row>
    <row r="51" spans="1:4" x14ac:dyDescent="0.35">
      <c r="A51" s="198" t="s">
        <v>40</v>
      </c>
      <c r="B51" s="199"/>
      <c r="C51" s="30">
        <f>ROUND(SUM(C50:C50),5)</f>
        <v>3.3E-4</v>
      </c>
      <c r="D51" s="29">
        <f>ROUND(SUM(D50:D50),2)</f>
        <v>0.89</v>
      </c>
    </row>
    <row r="52" spans="1:4" x14ac:dyDescent="0.35">
      <c r="A52" s="20"/>
      <c r="B52" s="20"/>
      <c r="C52" s="8"/>
      <c r="D52" s="7"/>
    </row>
    <row r="53" spans="1:4" x14ac:dyDescent="0.35">
      <c r="A53" s="207" t="s">
        <v>41</v>
      </c>
      <c r="B53" s="208"/>
      <c r="C53" s="90" t="s">
        <v>6</v>
      </c>
      <c r="D53" s="90" t="s">
        <v>7</v>
      </c>
    </row>
    <row r="54" spans="1:4" ht="119.5" customHeight="1" x14ac:dyDescent="0.35">
      <c r="A54" s="176" t="s">
        <v>42</v>
      </c>
      <c r="B54" s="178"/>
      <c r="C54" s="14">
        <f>ROUND(C25*(13/12)*(4/12)*2/100,5)</f>
        <v>2.7299999999999998E-3</v>
      </c>
      <c r="D54" s="5">
        <f>ROUND($D$13*C54,2)</f>
        <v>7.37</v>
      </c>
    </row>
    <row r="55" spans="1:4" x14ac:dyDescent="0.35">
      <c r="A55" s="198" t="s">
        <v>43</v>
      </c>
      <c r="B55" s="199"/>
      <c r="C55" s="30">
        <f>ROUND(SUM(C54),5)</f>
        <v>2.7299999999999998E-3</v>
      </c>
      <c r="D55" s="29">
        <f>ROUND(SUM(D54),2)</f>
        <v>7.37</v>
      </c>
    </row>
    <row r="56" spans="1:4" x14ac:dyDescent="0.35">
      <c r="A56" s="198" t="s">
        <v>44</v>
      </c>
      <c r="B56" s="199"/>
      <c r="C56" s="30">
        <f>ROUND(C25+C37+C43+C47+C51+C55,5)</f>
        <v>0.74250000000000005</v>
      </c>
      <c r="D56" s="29">
        <f>ROUND(D25+D37+D43+D47+D51+D55,2)</f>
        <v>2005.12</v>
      </c>
    </row>
    <row r="57" spans="1:4" ht="15" customHeight="1" x14ac:dyDescent="0.35">
      <c r="A57" s="20"/>
      <c r="B57" s="20"/>
      <c r="C57" s="8"/>
      <c r="D57" s="7"/>
    </row>
    <row r="58" spans="1:4" ht="15" customHeight="1" x14ac:dyDescent="0.35">
      <c r="A58" s="198" t="s">
        <v>45</v>
      </c>
      <c r="B58" s="200"/>
      <c r="C58" s="199"/>
      <c r="D58" s="29">
        <f>D13+D56</f>
        <v>4705.62</v>
      </c>
    </row>
    <row r="59" spans="1:4" ht="15" customHeight="1" x14ac:dyDescent="0.35">
      <c r="A59" s="3"/>
      <c r="B59" s="3"/>
      <c r="C59" s="3"/>
      <c r="D59" s="3"/>
    </row>
    <row r="60" spans="1:4" ht="15" customHeight="1" x14ac:dyDescent="0.35">
      <c r="A60" s="202" t="s">
        <v>72</v>
      </c>
      <c r="B60" s="202"/>
      <c r="C60" s="202"/>
      <c r="D60" s="202"/>
    </row>
    <row r="61" spans="1:4" x14ac:dyDescent="0.35">
      <c r="A61" s="202" t="s">
        <v>46</v>
      </c>
      <c r="B61" s="202"/>
      <c r="C61" s="90" t="s">
        <v>218</v>
      </c>
      <c r="D61" s="92" t="s">
        <v>7</v>
      </c>
    </row>
    <row r="62" spans="1:4" ht="96" customHeight="1" x14ac:dyDescent="0.35">
      <c r="A62" s="206" t="s">
        <v>91</v>
      </c>
      <c r="B62" s="206"/>
      <c r="C62" s="33">
        <v>15</v>
      </c>
      <c r="D62" s="33">
        <f>ROUND(C62*22,2)</f>
        <v>330</v>
      </c>
    </row>
    <row r="63" spans="1:4" ht="53.5" customHeight="1" x14ac:dyDescent="0.35">
      <c r="A63" s="209" t="s">
        <v>92</v>
      </c>
      <c r="B63" s="209"/>
      <c r="C63" s="101">
        <v>0.1</v>
      </c>
      <c r="D63" s="49">
        <f>ROUND(D62*C63,2)*-1</f>
        <v>-33</v>
      </c>
    </row>
    <row r="64" spans="1:4" ht="29.5" customHeight="1" x14ac:dyDescent="0.35">
      <c r="A64" s="206" t="s">
        <v>78</v>
      </c>
      <c r="B64" s="206"/>
      <c r="C64" s="33">
        <v>100</v>
      </c>
      <c r="D64" s="33">
        <f>C64</f>
        <v>100</v>
      </c>
    </row>
    <row r="65" spans="1:4" ht="102.5" customHeight="1" x14ac:dyDescent="0.35">
      <c r="A65" s="205" t="s">
        <v>93</v>
      </c>
      <c r="B65" s="205"/>
      <c r="C65" s="102">
        <v>3.8</v>
      </c>
      <c r="D65" s="47">
        <f>ROUND(C65*2*22,2)</f>
        <v>167.2</v>
      </c>
    </row>
    <row r="66" spans="1:4" ht="62" customHeight="1" x14ac:dyDescent="0.35">
      <c r="A66" s="204" t="s">
        <v>94</v>
      </c>
      <c r="B66" s="204"/>
      <c r="C66" s="103">
        <v>0.06</v>
      </c>
      <c r="D66" s="34">
        <f>IF(D11*C66&gt;D65,"-",ROUND(D11*C66,2)*-1)</f>
        <v>-162.03</v>
      </c>
    </row>
    <row r="67" spans="1:4" ht="29.5" customHeight="1" x14ac:dyDescent="0.35">
      <c r="A67" s="205" t="s">
        <v>79</v>
      </c>
      <c r="B67" s="205"/>
      <c r="C67" s="102">
        <v>15</v>
      </c>
      <c r="D67" s="47">
        <f>C67</f>
        <v>15</v>
      </c>
    </row>
    <row r="68" spans="1:4" ht="44.5" customHeight="1" x14ac:dyDescent="0.35">
      <c r="A68" s="206" t="s">
        <v>219</v>
      </c>
      <c r="B68" s="206"/>
      <c r="C68" s="104">
        <v>10</v>
      </c>
      <c r="D68" s="33">
        <f>C68</f>
        <v>10</v>
      </c>
    </row>
    <row r="69" spans="1:4" ht="29.5" customHeight="1" x14ac:dyDescent="0.35">
      <c r="A69" s="205" t="s">
        <v>95</v>
      </c>
      <c r="B69" s="205"/>
      <c r="C69" s="102">
        <v>10</v>
      </c>
      <c r="D69" s="47">
        <f>C69</f>
        <v>10</v>
      </c>
    </row>
    <row r="70" spans="1:4" ht="25.5" customHeight="1" x14ac:dyDescent="0.35">
      <c r="A70" s="206" t="s">
        <v>47</v>
      </c>
      <c r="B70" s="206"/>
      <c r="C70" s="60" t="s">
        <v>60</v>
      </c>
      <c r="D70" s="33">
        <f>'Uniforme Tipo I'!F13</f>
        <v>82.32</v>
      </c>
    </row>
    <row r="71" spans="1:4" ht="25.5" customHeight="1" x14ac:dyDescent="0.35">
      <c r="A71" s="233" t="s">
        <v>265</v>
      </c>
      <c r="B71" s="234"/>
      <c r="C71" s="61" t="s">
        <v>60</v>
      </c>
      <c r="D71" s="45">
        <f>'Manutenção Equip.'!F7</f>
        <v>22.3</v>
      </c>
    </row>
    <row r="72" spans="1:4" ht="15" customHeight="1" x14ac:dyDescent="0.35">
      <c r="A72" s="217" t="s">
        <v>48</v>
      </c>
      <c r="B72" s="217"/>
      <c r="C72" s="217"/>
      <c r="D72" s="29">
        <f>ROUND(SUM(D62:D70),2)</f>
        <v>519.49</v>
      </c>
    </row>
    <row r="73" spans="1:4" x14ac:dyDescent="0.35">
      <c r="A73" s="20"/>
      <c r="B73" s="20"/>
      <c r="C73" s="20"/>
      <c r="D73" s="7"/>
    </row>
    <row r="74" spans="1:4" ht="30" customHeight="1" x14ac:dyDescent="0.35">
      <c r="A74" s="198" t="s">
        <v>49</v>
      </c>
      <c r="B74" s="200"/>
      <c r="C74" s="199"/>
      <c r="D74" s="29">
        <f>ROUND(D58+D72,2)</f>
        <v>5225.1099999999997</v>
      </c>
    </row>
    <row r="75" spans="1:4" x14ac:dyDescent="0.35">
      <c r="A75" s="20"/>
      <c r="B75" s="20"/>
      <c r="C75" s="20"/>
      <c r="D75" s="7"/>
    </row>
    <row r="76" spans="1:4" x14ac:dyDescent="0.35">
      <c r="A76" s="202" t="s">
        <v>88</v>
      </c>
      <c r="B76" s="202"/>
      <c r="C76" s="202"/>
      <c r="D76" s="202"/>
    </row>
    <row r="77" spans="1:4" x14ac:dyDescent="0.35">
      <c r="A77" s="207" t="s">
        <v>50</v>
      </c>
      <c r="B77" s="208"/>
      <c r="C77" s="90" t="s">
        <v>6</v>
      </c>
      <c r="D77" s="90" t="s">
        <v>7</v>
      </c>
    </row>
    <row r="78" spans="1:4" s="1" customFormat="1" ht="30" customHeight="1" x14ac:dyDescent="0.3">
      <c r="A78" s="176" t="s">
        <v>51</v>
      </c>
      <c r="B78" s="178"/>
      <c r="C78" s="13">
        <v>0.05</v>
      </c>
      <c r="D78" s="18">
        <f>ROUND(D74*C78,2)</f>
        <v>261.26</v>
      </c>
    </row>
    <row r="79" spans="1:4" s="1" customFormat="1" ht="30" customHeight="1" x14ac:dyDescent="0.3">
      <c r="A79" s="196" t="s">
        <v>9</v>
      </c>
      <c r="B79" s="197"/>
      <c r="C79" s="41">
        <v>0.1</v>
      </c>
      <c r="D79" s="44">
        <f>ROUND(D74*C79,2)</f>
        <v>522.51</v>
      </c>
    </row>
    <row r="80" spans="1:4" x14ac:dyDescent="0.35">
      <c r="A80" s="198" t="s">
        <v>52</v>
      </c>
      <c r="B80" s="199"/>
      <c r="C80" s="31">
        <f>ROUND(SUM(C78:C79),5)</f>
        <v>0.15</v>
      </c>
      <c r="D80" s="29">
        <f>SUM(D78:D79)</f>
        <v>783.77</v>
      </c>
    </row>
    <row r="81" spans="1:4" x14ac:dyDescent="0.35">
      <c r="A81" s="20"/>
      <c r="B81" s="20"/>
      <c r="C81" s="6"/>
      <c r="D81" s="7"/>
    </row>
    <row r="82" spans="1:4" ht="30" customHeight="1" x14ac:dyDescent="0.35">
      <c r="A82" s="198" t="s">
        <v>73</v>
      </c>
      <c r="B82" s="200"/>
      <c r="C82" s="199"/>
      <c r="D82" s="29">
        <f>ROUND(D74+D80,2)</f>
        <v>6008.88</v>
      </c>
    </row>
    <row r="83" spans="1:4" x14ac:dyDescent="0.35">
      <c r="A83" s="20"/>
      <c r="B83" s="20"/>
      <c r="C83" s="20"/>
      <c r="D83" s="7"/>
    </row>
    <row r="84" spans="1:4" ht="35.25" customHeight="1" x14ac:dyDescent="0.35">
      <c r="A84" s="235" t="s">
        <v>63</v>
      </c>
      <c r="B84" s="235"/>
      <c r="C84" s="30">
        <f>ROUND(1-(SUM(C87:C89)/1),5)</f>
        <v>0.91349999999999998</v>
      </c>
      <c r="D84" s="29">
        <f>ROUND(D82/C84,2)</f>
        <v>6577.87</v>
      </c>
    </row>
    <row r="85" spans="1:4" x14ac:dyDescent="0.35">
      <c r="A85" s="3"/>
      <c r="B85" s="3"/>
      <c r="C85" s="3"/>
      <c r="D85" s="3"/>
    </row>
    <row r="86" spans="1:4" x14ac:dyDescent="0.35">
      <c r="A86" s="207" t="s">
        <v>53</v>
      </c>
      <c r="B86" s="208"/>
      <c r="C86" s="90" t="s">
        <v>6</v>
      </c>
      <c r="D86" s="90" t="s">
        <v>7</v>
      </c>
    </row>
    <row r="87" spans="1:4" ht="22" customHeight="1" x14ac:dyDescent="0.35">
      <c r="A87" s="176" t="s">
        <v>54</v>
      </c>
      <c r="B87" s="178"/>
      <c r="C87" s="13">
        <v>0.05</v>
      </c>
      <c r="D87" s="5">
        <f>ROUND($D$84*C87,2)</f>
        <v>328.89</v>
      </c>
    </row>
    <row r="88" spans="1:4" ht="22" customHeight="1" x14ac:dyDescent="0.35">
      <c r="A88" s="196" t="s">
        <v>55</v>
      </c>
      <c r="B88" s="197"/>
      <c r="C88" s="41">
        <v>0.03</v>
      </c>
      <c r="D88" s="42">
        <f>ROUND($D$84*C88,2)</f>
        <v>197.34</v>
      </c>
    </row>
    <row r="89" spans="1:4" ht="22" customHeight="1" x14ac:dyDescent="0.35">
      <c r="A89" s="176" t="s">
        <v>56</v>
      </c>
      <c r="B89" s="178"/>
      <c r="C89" s="13">
        <v>6.4999999999999997E-3</v>
      </c>
      <c r="D89" s="5">
        <f>ROUND($D$84*C89,2)</f>
        <v>42.76</v>
      </c>
    </row>
    <row r="90" spans="1:4" x14ac:dyDescent="0.35">
      <c r="A90" s="198" t="s">
        <v>57</v>
      </c>
      <c r="B90" s="199"/>
      <c r="C90" s="30">
        <f>ROUND(SUM(C87:C89),5)</f>
        <v>8.6499999999999994E-2</v>
      </c>
      <c r="D90" s="29">
        <f>ROUND(SUM(D87:D89),2)</f>
        <v>568.99</v>
      </c>
    </row>
    <row r="91" spans="1:4" ht="10" customHeight="1" x14ac:dyDescent="0.35">
      <c r="A91" s="3"/>
      <c r="B91" s="3"/>
      <c r="C91" s="3"/>
      <c r="D91" s="3"/>
    </row>
    <row r="92" spans="1:4" ht="25" customHeight="1" x14ac:dyDescent="0.35">
      <c r="A92" s="198" t="s">
        <v>58</v>
      </c>
      <c r="B92" s="200"/>
      <c r="C92" s="199"/>
      <c r="D92" s="29">
        <f>ROUND(D82+D90,2)</f>
        <v>6577.87</v>
      </c>
    </row>
    <row r="93" spans="1:4" ht="25" customHeight="1" x14ac:dyDescent="0.35">
      <c r="A93" s="198" t="s">
        <v>64</v>
      </c>
      <c r="B93" s="200"/>
      <c r="C93" s="199"/>
      <c r="D93" s="29">
        <f>ROUND(D92*12,2)</f>
        <v>78934.44</v>
      </c>
    </row>
    <row r="94" spans="1:4" ht="10" customHeight="1" x14ac:dyDescent="0.35">
      <c r="A94" s="20"/>
      <c r="B94" s="20"/>
      <c r="C94" s="20"/>
      <c r="D94" s="7"/>
    </row>
    <row r="95" spans="1:4" ht="15" customHeight="1" x14ac:dyDescent="0.35">
      <c r="A95" s="202" t="s">
        <v>59</v>
      </c>
      <c r="B95" s="202"/>
      <c r="C95" s="202"/>
      <c r="D95" s="27" t="s">
        <v>6</v>
      </c>
    </row>
    <row r="96" spans="1:4" ht="15" customHeight="1" x14ac:dyDescent="0.35">
      <c r="A96" s="201" t="s">
        <v>74</v>
      </c>
      <c r="B96" s="201"/>
      <c r="C96" s="201"/>
      <c r="D96" s="17">
        <f>C25</f>
        <v>0.378</v>
      </c>
    </row>
    <row r="97" spans="1:4" ht="15" customHeight="1" x14ac:dyDescent="0.35">
      <c r="A97" s="203" t="s">
        <v>29</v>
      </c>
      <c r="B97" s="203"/>
      <c r="C97" s="203"/>
      <c r="D97" s="43">
        <f>C37</f>
        <v>0.23483000000000001</v>
      </c>
    </row>
    <row r="98" spans="1:4" ht="15" customHeight="1" x14ac:dyDescent="0.35">
      <c r="A98" s="201" t="s">
        <v>34</v>
      </c>
      <c r="B98" s="201"/>
      <c r="C98" s="201"/>
      <c r="D98" s="17">
        <f>C43</f>
        <v>3.7839999999999999E-2</v>
      </c>
    </row>
    <row r="99" spans="1:4" ht="15" customHeight="1" x14ac:dyDescent="0.35">
      <c r="A99" s="203" t="s">
        <v>37</v>
      </c>
      <c r="B99" s="203"/>
      <c r="C99" s="203"/>
      <c r="D99" s="43">
        <f>C47</f>
        <v>8.8770000000000002E-2</v>
      </c>
    </row>
    <row r="100" spans="1:4" ht="15" customHeight="1" x14ac:dyDescent="0.35">
      <c r="A100" s="201" t="s">
        <v>40</v>
      </c>
      <c r="B100" s="201"/>
      <c r="C100" s="201"/>
      <c r="D100" s="17">
        <f>C51</f>
        <v>3.3E-4</v>
      </c>
    </row>
    <row r="101" spans="1:4" ht="15" customHeight="1" x14ac:dyDescent="0.35">
      <c r="A101" s="203" t="s">
        <v>43</v>
      </c>
      <c r="B101" s="203"/>
      <c r="C101" s="203"/>
      <c r="D101" s="43">
        <f>C55</f>
        <v>2.7299999999999998E-3</v>
      </c>
    </row>
    <row r="102" spans="1:4" ht="15" customHeight="1" x14ac:dyDescent="0.35">
      <c r="A102" s="236" t="s">
        <v>75</v>
      </c>
      <c r="B102" s="236"/>
      <c r="C102" s="236"/>
      <c r="D102" s="28">
        <f>ROUND(SUM(D96:D101),5)</f>
        <v>0.74250000000000005</v>
      </c>
    </row>
    <row r="103" spans="1:4" ht="10" customHeight="1" x14ac:dyDescent="0.35"/>
    <row r="104" spans="1:4" x14ac:dyDescent="0.35">
      <c r="A104" s="207" t="s">
        <v>268</v>
      </c>
      <c r="B104" s="208"/>
      <c r="C104" s="90" t="s">
        <v>269</v>
      </c>
      <c r="D104" s="27" t="s">
        <v>6</v>
      </c>
    </row>
    <row r="105" spans="1:4" x14ac:dyDescent="0.35">
      <c r="A105" s="212" t="s">
        <v>270</v>
      </c>
      <c r="B105" s="213"/>
      <c r="C105" s="110">
        <f>D13</f>
        <v>2700.5</v>
      </c>
      <c r="D105" s="17">
        <f>ROUND(C105/$C$109,5)</f>
        <v>0.41054000000000002</v>
      </c>
    </row>
    <row r="106" spans="1:4" ht="24.5" customHeight="1" x14ac:dyDescent="0.35">
      <c r="A106" s="229" t="s">
        <v>271</v>
      </c>
      <c r="B106" s="230"/>
      <c r="C106" s="111">
        <f>D56</f>
        <v>2005.12</v>
      </c>
      <c r="D106" s="43">
        <f>ROUND(C106/$C$109,5)</f>
        <v>0.30482999999999999</v>
      </c>
    </row>
    <row r="107" spans="1:4" x14ac:dyDescent="0.35">
      <c r="A107" s="212" t="s">
        <v>272</v>
      </c>
      <c r="B107" s="213"/>
      <c r="C107" s="110">
        <f>D72</f>
        <v>519.49</v>
      </c>
      <c r="D107" s="17">
        <f>ROUND(C107/$C$109,5)</f>
        <v>7.8979999999999995E-2</v>
      </c>
    </row>
    <row r="108" spans="1:4" x14ac:dyDescent="0.35">
      <c r="A108" s="229" t="s">
        <v>273</v>
      </c>
      <c r="B108" s="230"/>
      <c r="C108" s="111">
        <f>ROUND(D80+D90,2)</f>
        <v>1352.76</v>
      </c>
      <c r="D108" s="43">
        <f>ROUND(C108/$C$109,5)</f>
        <v>0.20565</v>
      </c>
    </row>
    <row r="109" spans="1:4" x14ac:dyDescent="0.35">
      <c r="A109" s="231" t="s">
        <v>274</v>
      </c>
      <c r="B109" s="232"/>
      <c r="C109" s="112">
        <f>ROUND(SUM(C105:C108),2)</f>
        <v>6577.87</v>
      </c>
      <c r="D109" s="30">
        <f>ROUND(SUM(D105:D108),5)</f>
        <v>1</v>
      </c>
    </row>
  </sheetData>
  <mergeCells count="92">
    <mergeCell ref="A104:B104"/>
    <mergeCell ref="A98:C98"/>
    <mergeCell ref="A99:C99"/>
    <mergeCell ref="A100:C100"/>
    <mergeCell ref="A101:C101"/>
    <mergeCell ref="A102:C102"/>
    <mergeCell ref="A105:B105"/>
    <mergeCell ref="A106:B106"/>
    <mergeCell ref="A107:B107"/>
    <mergeCell ref="A108:B108"/>
    <mergeCell ref="A109:B109"/>
    <mergeCell ref="A97:C97"/>
    <mergeCell ref="A80:B80"/>
    <mergeCell ref="A82:C82"/>
    <mergeCell ref="A84:B84"/>
    <mergeCell ref="A86:B86"/>
    <mergeCell ref="A90:B90"/>
    <mergeCell ref="A92:C92"/>
    <mergeCell ref="A93:C93"/>
    <mergeCell ref="A95:C95"/>
    <mergeCell ref="A96:C96"/>
    <mergeCell ref="A87:B87"/>
    <mergeCell ref="A88:B88"/>
    <mergeCell ref="A89:B89"/>
    <mergeCell ref="A74:C74"/>
    <mergeCell ref="A76:D76"/>
    <mergeCell ref="A77:B77"/>
    <mergeCell ref="A78:B78"/>
    <mergeCell ref="A79:B79"/>
    <mergeCell ref="A68:B68"/>
    <mergeCell ref="A69:B69"/>
    <mergeCell ref="A70:B70"/>
    <mergeCell ref="A71:B71"/>
    <mergeCell ref="A72:C72"/>
    <mergeCell ref="A58:C58"/>
    <mergeCell ref="A46:B46"/>
    <mergeCell ref="A47:B47"/>
    <mergeCell ref="A49:B49"/>
    <mergeCell ref="A67:B67"/>
    <mergeCell ref="A60:D60"/>
    <mergeCell ref="A61:B61"/>
    <mergeCell ref="A62:B62"/>
    <mergeCell ref="A63:B63"/>
    <mergeCell ref="A64:B64"/>
    <mergeCell ref="A65:B65"/>
    <mergeCell ref="A66:B66"/>
    <mergeCell ref="A51:B51"/>
    <mergeCell ref="A53:B53"/>
    <mergeCell ref="A54:B54"/>
    <mergeCell ref="A55:B55"/>
    <mergeCell ref="A56:B56"/>
    <mergeCell ref="A31:B31"/>
    <mergeCell ref="A32:B32"/>
    <mergeCell ref="A33:B33"/>
    <mergeCell ref="A50:B50"/>
    <mergeCell ref="A40:B40"/>
    <mergeCell ref="A41:B41"/>
    <mergeCell ref="A42:B42"/>
    <mergeCell ref="A43:B43"/>
    <mergeCell ref="A45:B45"/>
    <mergeCell ref="A34:B34"/>
    <mergeCell ref="A35:B35"/>
    <mergeCell ref="A36:B36"/>
    <mergeCell ref="A37:B37"/>
    <mergeCell ref="A39:B39"/>
    <mergeCell ref="A25:B25"/>
    <mergeCell ref="A27:B27"/>
    <mergeCell ref="A28:B28"/>
    <mergeCell ref="A29:B29"/>
    <mergeCell ref="A30:B30"/>
    <mergeCell ref="A23:B23"/>
    <mergeCell ref="A24:B24"/>
    <mergeCell ref="A13:C13"/>
    <mergeCell ref="A15:D15"/>
    <mergeCell ref="A16:B16"/>
    <mergeCell ref="A17:B17"/>
    <mergeCell ref="A18:B18"/>
    <mergeCell ref="B6:D6"/>
    <mergeCell ref="A19:B19"/>
    <mergeCell ref="A20:B20"/>
    <mergeCell ref="A21:B21"/>
    <mergeCell ref="A22:B22"/>
    <mergeCell ref="A8:D8"/>
    <mergeCell ref="A9:D9"/>
    <mergeCell ref="A10:B10"/>
    <mergeCell ref="A11:B11"/>
    <mergeCell ref="A12:B12"/>
    <mergeCell ref="A1:D1"/>
    <mergeCell ref="B2:D2"/>
    <mergeCell ref="B3:D3"/>
    <mergeCell ref="B4:D4"/>
    <mergeCell ref="B5:D5"/>
  </mergeCells>
  <pageMargins left="0.23622047244094491" right="0.23622047244094491" top="1.3385826771653544" bottom="0.74803149606299213" header="0.9055118110236221" footer="0.31496062992125984"/>
  <pageSetup fitToHeight="0" orientation="landscape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0291D-B69E-4EFF-95F7-1CEE473F2159}">
  <sheetPr codeName="Planilha11">
    <pageSetUpPr fitToPage="1"/>
  </sheetPr>
  <dimension ref="A1:D109"/>
  <sheetViews>
    <sheetView view="pageBreakPreview" zoomScaleNormal="100" zoomScaleSheetLayoutView="100" workbookViewId="0">
      <selection activeCell="F5" sqref="F5"/>
    </sheetView>
  </sheetViews>
  <sheetFormatPr defaultRowHeight="14.5" x14ac:dyDescent="0.35"/>
  <cols>
    <col min="1" max="1" width="33.453125" customWidth="1"/>
    <col min="2" max="2" width="14.54296875" customWidth="1"/>
    <col min="3" max="3" width="10.81640625" customWidth="1"/>
    <col min="4" max="4" width="12.26953125" customWidth="1"/>
  </cols>
  <sheetData>
    <row r="1" spans="1:4" ht="27" customHeight="1" x14ac:dyDescent="0.35">
      <c r="A1" s="218" t="s">
        <v>0</v>
      </c>
      <c r="B1" s="218"/>
      <c r="C1" s="218"/>
      <c r="D1" s="218"/>
    </row>
    <row r="2" spans="1:4" ht="30.5" customHeight="1" x14ac:dyDescent="0.35">
      <c r="A2" s="23" t="s">
        <v>2</v>
      </c>
      <c r="B2" s="214" t="str">
        <f>'Quantidade de Cargo'!A9</f>
        <v>Assistente Contábil II</v>
      </c>
      <c r="C2" s="215"/>
      <c r="D2" s="216"/>
    </row>
    <row r="3" spans="1:4" ht="15" customHeight="1" x14ac:dyDescent="0.35">
      <c r="A3" s="23" t="s">
        <v>61</v>
      </c>
      <c r="B3" s="219" t="str">
        <f>'Salario Base'!B12</f>
        <v>4131-10</v>
      </c>
      <c r="C3" s="220"/>
      <c r="D3" s="221"/>
    </row>
    <row r="4" spans="1:4" ht="15" customHeight="1" x14ac:dyDescent="0.35">
      <c r="A4" s="24" t="s">
        <v>1</v>
      </c>
      <c r="B4" s="214" t="s">
        <v>143</v>
      </c>
      <c r="C4" s="215"/>
      <c r="D4" s="216"/>
    </row>
    <row r="5" spans="1:4" ht="26" x14ac:dyDescent="0.35">
      <c r="A5" s="24" t="s">
        <v>3</v>
      </c>
      <c r="B5" s="222">
        <v>1</v>
      </c>
      <c r="C5" s="220"/>
      <c r="D5" s="221"/>
    </row>
    <row r="6" spans="1:4" ht="65.5" customHeight="1" x14ac:dyDescent="0.35">
      <c r="A6" s="24" t="s">
        <v>62</v>
      </c>
      <c r="B6" s="214" t="s">
        <v>217</v>
      </c>
      <c r="C6" s="215"/>
      <c r="D6" s="216"/>
    </row>
    <row r="7" spans="1:4" ht="15" customHeight="1" x14ac:dyDescent="0.35">
      <c r="A7" s="2"/>
      <c r="B7" s="16"/>
      <c r="C7" s="3"/>
      <c r="D7" s="3"/>
    </row>
    <row r="8" spans="1:4" x14ac:dyDescent="0.35">
      <c r="A8" s="223" t="s">
        <v>4</v>
      </c>
      <c r="B8" s="223"/>
      <c r="C8" s="223"/>
      <c r="D8" s="223"/>
    </row>
    <row r="9" spans="1:4" x14ac:dyDescent="0.35">
      <c r="A9" s="224" t="s">
        <v>70</v>
      </c>
      <c r="B9" s="225"/>
      <c r="C9" s="225"/>
      <c r="D9" s="226"/>
    </row>
    <row r="10" spans="1:4" x14ac:dyDescent="0.35">
      <c r="A10" s="227" t="s">
        <v>5</v>
      </c>
      <c r="B10" s="228"/>
      <c r="C10" s="90" t="s">
        <v>6</v>
      </c>
      <c r="D10" s="90" t="s">
        <v>7</v>
      </c>
    </row>
    <row r="11" spans="1:4" ht="40.5" customHeight="1" x14ac:dyDescent="0.35">
      <c r="A11" s="176" t="s">
        <v>8</v>
      </c>
      <c r="B11" s="178"/>
      <c r="C11" s="91" t="s">
        <v>60</v>
      </c>
      <c r="D11" s="4">
        <f>'Salario Base'!D12</f>
        <v>2700.5</v>
      </c>
    </row>
    <row r="12" spans="1:4" ht="15" customHeight="1" x14ac:dyDescent="0.35">
      <c r="A12" s="229" t="s">
        <v>66</v>
      </c>
      <c r="B12" s="230"/>
      <c r="C12" s="53"/>
      <c r="D12" s="42">
        <f>C12*D11/100</f>
        <v>0</v>
      </c>
    </row>
    <row r="13" spans="1:4" x14ac:dyDescent="0.35">
      <c r="A13" s="217" t="s">
        <v>20</v>
      </c>
      <c r="B13" s="217"/>
      <c r="C13" s="217"/>
      <c r="D13" s="29">
        <f>ROUND(SUM(D11:D12),2)</f>
        <v>2700.5</v>
      </c>
    </row>
    <row r="14" spans="1:4" x14ac:dyDescent="0.35">
      <c r="A14" s="3"/>
      <c r="B14" s="3"/>
      <c r="C14" s="3"/>
      <c r="D14" s="3"/>
    </row>
    <row r="15" spans="1:4" x14ac:dyDescent="0.35">
      <c r="A15" s="202" t="s">
        <v>71</v>
      </c>
      <c r="B15" s="202"/>
      <c r="C15" s="202"/>
      <c r="D15" s="202"/>
    </row>
    <row r="16" spans="1:4" x14ac:dyDescent="0.35">
      <c r="A16" s="202" t="s">
        <v>10</v>
      </c>
      <c r="B16" s="202"/>
      <c r="C16" s="90" t="s">
        <v>6</v>
      </c>
      <c r="D16" s="90" t="s">
        <v>7</v>
      </c>
    </row>
    <row r="17" spans="1:4" x14ac:dyDescent="0.35">
      <c r="A17" s="176" t="s">
        <v>11</v>
      </c>
      <c r="B17" s="178"/>
      <c r="C17" s="11">
        <v>0.2</v>
      </c>
      <c r="D17" s="5">
        <f>ROUND($D$13*C17,2)</f>
        <v>540.1</v>
      </c>
    </row>
    <row r="18" spans="1:4" x14ac:dyDescent="0.35">
      <c r="A18" s="196" t="s">
        <v>12</v>
      </c>
      <c r="B18" s="197"/>
      <c r="C18" s="52">
        <v>0.08</v>
      </c>
      <c r="D18" s="42">
        <f t="shared" ref="D18:D24" si="0">ROUND($D$13*C18,2)</f>
        <v>216.04</v>
      </c>
    </row>
    <row r="19" spans="1:4" x14ac:dyDescent="0.35">
      <c r="A19" s="176" t="s">
        <v>13</v>
      </c>
      <c r="B19" s="178"/>
      <c r="C19" s="11">
        <v>1.4999999999999999E-2</v>
      </c>
      <c r="D19" s="5">
        <f t="shared" si="0"/>
        <v>40.51</v>
      </c>
    </row>
    <row r="20" spans="1:4" ht="25.5" customHeight="1" x14ac:dyDescent="0.35">
      <c r="A20" s="196" t="s">
        <v>14</v>
      </c>
      <c r="B20" s="197"/>
      <c r="C20" s="52">
        <v>0.01</v>
      </c>
      <c r="D20" s="42">
        <f t="shared" si="0"/>
        <v>27.01</v>
      </c>
    </row>
    <row r="21" spans="1:4" ht="28.5" customHeight="1" x14ac:dyDescent="0.35">
      <c r="A21" s="176" t="s">
        <v>15</v>
      </c>
      <c r="B21" s="178"/>
      <c r="C21" s="11">
        <v>2E-3</v>
      </c>
      <c r="D21" s="5">
        <f t="shared" si="0"/>
        <v>5.4</v>
      </c>
    </row>
    <row r="22" spans="1:4" x14ac:dyDescent="0.35">
      <c r="A22" s="196" t="s">
        <v>16</v>
      </c>
      <c r="B22" s="197"/>
      <c r="C22" s="52">
        <v>6.0000000000000001E-3</v>
      </c>
      <c r="D22" s="42">
        <f t="shared" si="0"/>
        <v>16.2</v>
      </c>
    </row>
    <row r="23" spans="1:4" x14ac:dyDescent="0.35">
      <c r="A23" s="212" t="s">
        <v>17</v>
      </c>
      <c r="B23" s="213"/>
      <c r="C23" s="11">
        <v>2.5000000000000001E-2</v>
      </c>
      <c r="D23" s="5">
        <f t="shared" si="0"/>
        <v>67.510000000000005</v>
      </c>
    </row>
    <row r="24" spans="1:4" ht="39.75" customHeight="1" x14ac:dyDescent="0.35">
      <c r="A24" s="229" t="s">
        <v>18</v>
      </c>
      <c r="B24" s="230"/>
      <c r="C24" s="50">
        <v>0.04</v>
      </c>
      <c r="D24" s="42">
        <f t="shared" si="0"/>
        <v>108.02</v>
      </c>
    </row>
    <row r="25" spans="1:4" x14ac:dyDescent="0.35">
      <c r="A25" s="198" t="s">
        <v>19</v>
      </c>
      <c r="B25" s="199"/>
      <c r="C25" s="30">
        <f>ROUND(SUM(C17:C24),5)</f>
        <v>0.378</v>
      </c>
      <c r="D25" s="29">
        <f>ROUND(SUM(D17:D24),2)</f>
        <v>1020.79</v>
      </c>
    </row>
    <row r="26" spans="1:4" x14ac:dyDescent="0.35">
      <c r="A26" s="20"/>
      <c r="B26" s="20"/>
      <c r="C26" s="6"/>
      <c r="D26" s="7"/>
    </row>
    <row r="27" spans="1:4" x14ac:dyDescent="0.35">
      <c r="A27" s="202" t="s">
        <v>21</v>
      </c>
      <c r="B27" s="202"/>
      <c r="C27" s="90" t="s">
        <v>6</v>
      </c>
      <c r="D27" s="90" t="s">
        <v>7</v>
      </c>
    </row>
    <row r="28" spans="1:4" ht="25" customHeight="1" x14ac:dyDescent="0.35">
      <c r="A28" s="212" t="s">
        <v>22</v>
      </c>
      <c r="B28" s="213"/>
      <c r="C28" s="9">
        <f>ROUND(1/12,5)</f>
        <v>8.3330000000000001E-2</v>
      </c>
      <c r="D28" s="5">
        <f>ROUND($D$13*C28,2)</f>
        <v>225.03</v>
      </c>
    </row>
    <row r="29" spans="1:4" ht="25" customHeight="1" x14ac:dyDescent="0.35">
      <c r="A29" s="196" t="s">
        <v>263</v>
      </c>
      <c r="B29" s="197"/>
      <c r="C29" s="51">
        <f>ROUND((1/3)/12,5)</f>
        <v>2.7779999999999999E-2</v>
      </c>
      <c r="D29" s="42">
        <f t="shared" ref="D29:D36" si="1">ROUND($D$13*C29,2)</f>
        <v>75.02</v>
      </c>
    </row>
    <row r="30" spans="1:4" ht="25" customHeight="1" x14ac:dyDescent="0.35">
      <c r="A30" s="176" t="s">
        <v>23</v>
      </c>
      <c r="B30" s="178"/>
      <c r="C30" s="10">
        <f>ROUND((((100% / 30) * 7) / 12),5)</f>
        <v>1.9439999999999999E-2</v>
      </c>
      <c r="D30" s="5">
        <f t="shared" si="1"/>
        <v>52.5</v>
      </c>
    </row>
    <row r="31" spans="1:4" ht="25" customHeight="1" x14ac:dyDescent="0.35">
      <c r="A31" s="196" t="s">
        <v>24</v>
      </c>
      <c r="B31" s="197"/>
      <c r="C31" s="51">
        <f>ROUND((5/30)/12,5)</f>
        <v>1.389E-2</v>
      </c>
      <c r="D31" s="42">
        <f t="shared" si="1"/>
        <v>37.51</v>
      </c>
    </row>
    <row r="32" spans="1:4" ht="25" customHeight="1" x14ac:dyDescent="0.35">
      <c r="A32" s="176" t="s">
        <v>25</v>
      </c>
      <c r="B32" s="178"/>
      <c r="C32" s="10">
        <f>ROUND(((15/30/12)*0.08),5)</f>
        <v>3.3300000000000001E-3</v>
      </c>
      <c r="D32" s="5">
        <f t="shared" si="1"/>
        <v>8.99</v>
      </c>
    </row>
    <row r="33" spans="1:4" ht="25" customHeight="1" x14ac:dyDescent="0.35">
      <c r="A33" s="196" t="s">
        <v>26</v>
      </c>
      <c r="B33" s="197"/>
      <c r="C33" s="51">
        <f>ROUND((1/30)/12,5)</f>
        <v>2.7799999999999999E-3</v>
      </c>
      <c r="D33" s="42">
        <f t="shared" si="1"/>
        <v>7.51</v>
      </c>
    </row>
    <row r="34" spans="1:4" ht="25" customHeight="1" x14ac:dyDescent="0.35">
      <c r="A34" s="176" t="s">
        <v>27</v>
      </c>
      <c r="B34" s="178"/>
      <c r="C34" s="10">
        <f>ROUND(0.1111*0.02*0.333,5)</f>
        <v>7.3999999999999999E-4</v>
      </c>
      <c r="D34" s="5">
        <f t="shared" si="1"/>
        <v>2</v>
      </c>
    </row>
    <row r="35" spans="1:4" ht="25" customHeight="1" x14ac:dyDescent="0.35">
      <c r="A35" s="196" t="s">
        <v>28</v>
      </c>
      <c r="B35" s="197"/>
      <c r="C35" s="51">
        <f>ROUND(((5/30)/12)*0.015,5)</f>
        <v>2.1000000000000001E-4</v>
      </c>
      <c r="D35" s="42">
        <f t="shared" si="1"/>
        <v>0.56999999999999995</v>
      </c>
    </row>
    <row r="36" spans="1:4" ht="25" customHeight="1" x14ac:dyDescent="0.35">
      <c r="A36" s="176" t="s">
        <v>264</v>
      </c>
      <c r="B36" s="178"/>
      <c r="C36" s="10">
        <f>ROUND(1/12,5)</f>
        <v>8.3330000000000001E-2</v>
      </c>
      <c r="D36" s="5">
        <f t="shared" si="1"/>
        <v>225.03</v>
      </c>
    </row>
    <row r="37" spans="1:4" x14ac:dyDescent="0.35">
      <c r="A37" s="198" t="s">
        <v>29</v>
      </c>
      <c r="B37" s="199"/>
      <c r="C37" s="30">
        <f>ROUND(SUM(C28:C36),5)</f>
        <v>0.23483000000000001</v>
      </c>
      <c r="D37" s="29">
        <f>ROUND(SUM(D28:D36),2)</f>
        <v>634.16</v>
      </c>
    </row>
    <row r="38" spans="1:4" x14ac:dyDescent="0.35">
      <c r="A38" s="20"/>
      <c r="B38" s="20"/>
      <c r="C38" s="8"/>
      <c r="D38" s="7"/>
    </row>
    <row r="39" spans="1:4" x14ac:dyDescent="0.35">
      <c r="A39" s="207" t="s">
        <v>30</v>
      </c>
      <c r="B39" s="208"/>
      <c r="C39" s="90" t="s">
        <v>6</v>
      </c>
      <c r="D39" s="90" t="s">
        <v>7</v>
      </c>
    </row>
    <row r="40" spans="1:4" ht="25" customHeight="1" x14ac:dyDescent="0.35">
      <c r="A40" s="210" t="s">
        <v>31</v>
      </c>
      <c r="B40" s="211"/>
      <c r="C40" s="12">
        <f>ROUND(1/12*5%,5)</f>
        <v>4.1700000000000001E-3</v>
      </c>
      <c r="D40" s="54">
        <f>ROUND($D$13*C40,2)</f>
        <v>11.26</v>
      </c>
    </row>
    <row r="41" spans="1:4" ht="25" customHeight="1" x14ac:dyDescent="0.35">
      <c r="A41" s="196" t="s">
        <v>32</v>
      </c>
      <c r="B41" s="197"/>
      <c r="C41" s="50">
        <f>ROUND(0.02*(1/12),5)</f>
        <v>1.67E-3</v>
      </c>
      <c r="D41" s="42">
        <f>ROUND($D$13*C41,2)</f>
        <v>4.51</v>
      </c>
    </row>
    <row r="42" spans="1:4" ht="25" customHeight="1" x14ac:dyDescent="0.35">
      <c r="A42" s="210" t="s">
        <v>33</v>
      </c>
      <c r="B42" s="211"/>
      <c r="C42" s="15">
        <f>ROUND(40%*8%,5)</f>
        <v>3.2000000000000001E-2</v>
      </c>
      <c r="D42" s="54">
        <f>ROUND($D$13*C42,2)</f>
        <v>86.42</v>
      </c>
    </row>
    <row r="43" spans="1:4" x14ac:dyDescent="0.35">
      <c r="A43" s="198" t="s">
        <v>34</v>
      </c>
      <c r="B43" s="199"/>
      <c r="C43" s="30">
        <f>ROUND(SUM(C40:C42),5)</f>
        <v>3.7839999999999999E-2</v>
      </c>
      <c r="D43" s="29">
        <f>ROUND(SUM(D40:D42),2)</f>
        <v>102.19</v>
      </c>
    </row>
    <row r="44" spans="1:4" x14ac:dyDescent="0.35">
      <c r="A44" s="20"/>
      <c r="B44" s="20"/>
      <c r="C44" s="8"/>
      <c r="D44" s="7"/>
    </row>
    <row r="45" spans="1:4" x14ac:dyDescent="0.35">
      <c r="A45" s="207" t="s">
        <v>35</v>
      </c>
      <c r="B45" s="208"/>
      <c r="C45" s="90" t="s">
        <v>6</v>
      </c>
      <c r="D45" s="90" t="s">
        <v>7</v>
      </c>
    </row>
    <row r="46" spans="1:4" ht="29" customHeight="1" x14ac:dyDescent="0.35">
      <c r="A46" s="176" t="s">
        <v>36</v>
      </c>
      <c r="B46" s="178"/>
      <c r="C46" s="14">
        <f>ROUND(C25*C37,5)</f>
        <v>8.8770000000000002E-2</v>
      </c>
      <c r="D46" s="5">
        <f>ROUND($D$13*C46,2)</f>
        <v>239.72</v>
      </c>
    </row>
    <row r="47" spans="1:4" x14ac:dyDescent="0.35">
      <c r="A47" s="198" t="s">
        <v>37</v>
      </c>
      <c r="B47" s="199"/>
      <c r="C47" s="30">
        <f>ROUND(SUM(C46),5)</f>
        <v>8.8770000000000002E-2</v>
      </c>
      <c r="D47" s="29">
        <f>ROUND(SUM(D46),2)</f>
        <v>239.72</v>
      </c>
    </row>
    <row r="48" spans="1:4" x14ac:dyDescent="0.35">
      <c r="A48" s="20"/>
      <c r="B48" s="20"/>
      <c r="C48" s="8"/>
      <c r="D48" s="7"/>
    </row>
    <row r="49" spans="1:4" x14ac:dyDescent="0.35">
      <c r="A49" s="207" t="s">
        <v>38</v>
      </c>
      <c r="B49" s="208"/>
      <c r="C49" s="90" t="s">
        <v>6</v>
      </c>
      <c r="D49" s="90" t="s">
        <v>7</v>
      </c>
    </row>
    <row r="50" spans="1:4" ht="65.5" customHeight="1" x14ac:dyDescent="0.35">
      <c r="A50" s="176" t="s">
        <v>39</v>
      </c>
      <c r="B50" s="178"/>
      <c r="C50" s="15">
        <f>ROUND(8%*C40,5)</f>
        <v>3.3E-4</v>
      </c>
      <c r="D50" s="5">
        <f>ROUND($D$13*C50,2)</f>
        <v>0.89</v>
      </c>
    </row>
    <row r="51" spans="1:4" x14ac:dyDescent="0.35">
      <c r="A51" s="198" t="s">
        <v>40</v>
      </c>
      <c r="B51" s="199"/>
      <c r="C51" s="30">
        <f>ROUND(SUM(C50:C50),5)</f>
        <v>3.3E-4</v>
      </c>
      <c r="D51" s="29">
        <f>ROUND(SUM(D50:D50),2)</f>
        <v>0.89</v>
      </c>
    </row>
    <row r="52" spans="1:4" x14ac:dyDescent="0.35">
      <c r="A52" s="20"/>
      <c r="B52" s="20"/>
      <c r="C52" s="8"/>
      <c r="D52" s="7"/>
    </row>
    <row r="53" spans="1:4" x14ac:dyDescent="0.35">
      <c r="A53" s="207" t="s">
        <v>41</v>
      </c>
      <c r="B53" s="208"/>
      <c r="C53" s="90" t="s">
        <v>6</v>
      </c>
      <c r="D53" s="90" t="s">
        <v>7</v>
      </c>
    </row>
    <row r="54" spans="1:4" ht="113.5" customHeight="1" x14ac:dyDescent="0.35">
      <c r="A54" s="176" t="s">
        <v>42</v>
      </c>
      <c r="B54" s="178"/>
      <c r="C54" s="14">
        <f>ROUND(C25*(13/12)*(4/12)*2/100,5)</f>
        <v>2.7299999999999998E-3</v>
      </c>
      <c r="D54" s="5">
        <f>ROUND($D$13*C54,2)</f>
        <v>7.37</v>
      </c>
    </row>
    <row r="55" spans="1:4" x14ac:dyDescent="0.35">
      <c r="A55" s="198" t="s">
        <v>43</v>
      </c>
      <c r="B55" s="199"/>
      <c r="C55" s="30">
        <f>ROUND(SUM(C54),5)</f>
        <v>2.7299999999999998E-3</v>
      </c>
      <c r="D55" s="29">
        <f>ROUND(SUM(D54),2)</f>
        <v>7.37</v>
      </c>
    </row>
    <row r="56" spans="1:4" x14ac:dyDescent="0.35">
      <c r="A56" s="198" t="s">
        <v>44</v>
      </c>
      <c r="B56" s="199"/>
      <c r="C56" s="30">
        <f>ROUND(C25+C37+C43+C47+C51+C55,5)</f>
        <v>0.74250000000000005</v>
      </c>
      <c r="D56" s="29">
        <f>ROUND(D25+D37+D43+D47+D51+D55,2)</f>
        <v>2005.12</v>
      </c>
    </row>
    <row r="57" spans="1:4" ht="15" customHeight="1" x14ac:dyDescent="0.35">
      <c r="A57" s="20"/>
      <c r="B57" s="20"/>
      <c r="C57" s="8"/>
      <c r="D57" s="7"/>
    </row>
    <row r="58" spans="1:4" ht="15" customHeight="1" x14ac:dyDescent="0.35">
      <c r="A58" s="198" t="s">
        <v>45</v>
      </c>
      <c r="B58" s="200"/>
      <c r="C58" s="199"/>
      <c r="D58" s="29">
        <f>D13+D56</f>
        <v>4705.62</v>
      </c>
    </row>
    <row r="59" spans="1:4" ht="15" customHeight="1" x14ac:dyDescent="0.35">
      <c r="A59" s="3"/>
      <c r="B59" s="3"/>
      <c r="C59" s="3"/>
      <c r="D59" s="3"/>
    </row>
    <row r="60" spans="1:4" ht="15" customHeight="1" x14ac:dyDescent="0.35">
      <c r="A60" s="202" t="s">
        <v>72</v>
      </c>
      <c r="B60" s="202"/>
      <c r="C60" s="202"/>
      <c r="D60" s="202"/>
    </row>
    <row r="61" spans="1:4" x14ac:dyDescent="0.35">
      <c r="A61" s="202" t="s">
        <v>46</v>
      </c>
      <c r="B61" s="202"/>
      <c r="C61" s="90" t="s">
        <v>218</v>
      </c>
      <c r="D61" s="92" t="s">
        <v>7</v>
      </c>
    </row>
    <row r="62" spans="1:4" ht="96" customHeight="1" x14ac:dyDescent="0.35">
      <c r="A62" s="206" t="s">
        <v>91</v>
      </c>
      <c r="B62" s="206"/>
      <c r="C62" s="33">
        <v>15</v>
      </c>
      <c r="D62" s="33">
        <f>ROUND(C62*22,2)</f>
        <v>330</v>
      </c>
    </row>
    <row r="63" spans="1:4" ht="53.5" customHeight="1" x14ac:dyDescent="0.35">
      <c r="A63" s="209" t="s">
        <v>92</v>
      </c>
      <c r="B63" s="209"/>
      <c r="C63" s="101">
        <v>0.1</v>
      </c>
      <c r="D63" s="49">
        <f>ROUND(D62*C63,2)*-1</f>
        <v>-33</v>
      </c>
    </row>
    <row r="64" spans="1:4" ht="29.5" customHeight="1" x14ac:dyDescent="0.35">
      <c r="A64" s="206" t="s">
        <v>78</v>
      </c>
      <c r="B64" s="206"/>
      <c r="C64" s="33">
        <v>100</v>
      </c>
      <c r="D64" s="33">
        <f>C64</f>
        <v>100</v>
      </c>
    </row>
    <row r="65" spans="1:4" ht="102.5" customHeight="1" x14ac:dyDescent="0.35">
      <c r="A65" s="205" t="s">
        <v>93</v>
      </c>
      <c r="B65" s="205"/>
      <c r="C65" s="102">
        <v>3.8</v>
      </c>
      <c r="D65" s="47">
        <f>ROUND(C65*2*22,2)</f>
        <v>167.2</v>
      </c>
    </row>
    <row r="66" spans="1:4" ht="62" customHeight="1" x14ac:dyDescent="0.35">
      <c r="A66" s="204" t="s">
        <v>94</v>
      </c>
      <c r="B66" s="204"/>
      <c r="C66" s="103">
        <v>0.06</v>
      </c>
      <c r="D66" s="34">
        <f>IF(D11*C66&gt;D65,"-",ROUND(D11*C66,2)*-1)</f>
        <v>-162.03</v>
      </c>
    </row>
    <row r="67" spans="1:4" ht="29.5" customHeight="1" x14ac:dyDescent="0.35">
      <c r="A67" s="205" t="s">
        <v>79</v>
      </c>
      <c r="B67" s="205"/>
      <c r="C67" s="102">
        <v>15</v>
      </c>
      <c r="D67" s="47">
        <f>C67</f>
        <v>15</v>
      </c>
    </row>
    <row r="68" spans="1:4" ht="44.5" customHeight="1" x14ac:dyDescent="0.35">
      <c r="A68" s="206" t="s">
        <v>219</v>
      </c>
      <c r="B68" s="206"/>
      <c r="C68" s="104">
        <v>10</v>
      </c>
      <c r="D68" s="33">
        <f>C68</f>
        <v>10</v>
      </c>
    </row>
    <row r="69" spans="1:4" ht="29.5" customHeight="1" x14ac:dyDescent="0.35">
      <c r="A69" s="205" t="s">
        <v>95</v>
      </c>
      <c r="B69" s="205"/>
      <c r="C69" s="102">
        <v>10</v>
      </c>
      <c r="D69" s="47">
        <f>C69</f>
        <v>10</v>
      </c>
    </row>
    <row r="70" spans="1:4" ht="25.5" customHeight="1" x14ac:dyDescent="0.35">
      <c r="A70" s="206" t="s">
        <v>47</v>
      </c>
      <c r="B70" s="206"/>
      <c r="C70" s="60" t="s">
        <v>60</v>
      </c>
      <c r="D70" s="33">
        <f>'Uniforme Tipo I'!F13</f>
        <v>82.32</v>
      </c>
    </row>
    <row r="71" spans="1:4" ht="25.5" customHeight="1" x14ac:dyDescent="0.35">
      <c r="A71" s="233" t="s">
        <v>265</v>
      </c>
      <c r="B71" s="234"/>
      <c r="C71" s="61" t="s">
        <v>60</v>
      </c>
      <c r="D71" s="45">
        <f>'Manutenção Equip.'!F7</f>
        <v>22.3</v>
      </c>
    </row>
    <row r="72" spans="1:4" ht="15" customHeight="1" x14ac:dyDescent="0.35">
      <c r="A72" s="217" t="s">
        <v>48</v>
      </c>
      <c r="B72" s="217"/>
      <c r="C72" s="217"/>
      <c r="D72" s="29">
        <f>ROUND(SUM(D62:D70),2)</f>
        <v>519.49</v>
      </c>
    </row>
    <row r="73" spans="1:4" x14ac:dyDescent="0.35">
      <c r="A73" s="20"/>
      <c r="B73" s="20"/>
      <c r="C73" s="20"/>
      <c r="D73" s="7"/>
    </row>
    <row r="74" spans="1:4" ht="30" customHeight="1" x14ac:dyDescent="0.35">
      <c r="A74" s="198" t="s">
        <v>49</v>
      </c>
      <c r="B74" s="200"/>
      <c r="C74" s="199"/>
      <c r="D74" s="29">
        <f>ROUND(D58+D72,2)</f>
        <v>5225.1099999999997</v>
      </c>
    </row>
    <row r="75" spans="1:4" x14ac:dyDescent="0.35">
      <c r="A75" s="20"/>
      <c r="B75" s="20"/>
      <c r="C75" s="20"/>
      <c r="D75" s="7"/>
    </row>
    <row r="76" spans="1:4" x14ac:dyDescent="0.35">
      <c r="A76" s="202" t="s">
        <v>88</v>
      </c>
      <c r="B76" s="202"/>
      <c r="C76" s="202"/>
      <c r="D76" s="202"/>
    </row>
    <row r="77" spans="1:4" x14ac:dyDescent="0.35">
      <c r="A77" s="207" t="s">
        <v>50</v>
      </c>
      <c r="B77" s="208"/>
      <c r="C77" s="90" t="s">
        <v>6</v>
      </c>
      <c r="D77" s="90" t="s">
        <v>7</v>
      </c>
    </row>
    <row r="78" spans="1:4" s="1" customFormat="1" ht="30" customHeight="1" x14ac:dyDescent="0.3">
      <c r="A78" s="176" t="s">
        <v>51</v>
      </c>
      <c r="B78" s="178"/>
      <c r="C78" s="13">
        <v>0.05</v>
      </c>
      <c r="D78" s="18">
        <f>ROUND(D74*C78,2)</f>
        <v>261.26</v>
      </c>
    </row>
    <row r="79" spans="1:4" s="1" customFormat="1" ht="30" customHeight="1" x14ac:dyDescent="0.3">
      <c r="A79" s="196" t="s">
        <v>9</v>
      </c>
      <c r="B79" s="197"/>
      <c r="C79" s="41">
        <v>0.1</v>
      </c>
      <c r="D79" s="44">
        <f>ROUND(D74*C79,2)</f>
        <v>522.51</v>
      </c>
    </row>
    <row r="80" spans="1:4" x14ac:dyDescent="0.35">
      <c r="A80" s="198" t="s">
        <v>52</v>
      </c>
      <c r="B80" s="199"/>
      <c r="C80" s="31">
        <f>ROUND(SUM(C78:C79),5)</f>
        <v>0.15</v>
      </c>
      <c r="D80" s="29">
        <f>SUM(D78:D79)</f>
        <v>783.77</v>
      </c>
    </row>
    <row r="81" spans="1:4" x14ac:dyDescent="0.35">
      <c r="A81" s="20"/>
      <c r="B81" s="20"/>
      <c r="C81" s="6"/>
      <c r="D81" s="7"/>
    </row>
    <row r="82" spans="1:4" ht="30" customHeight="1" x14ac:dyDescent="0.35">
      <c r="A82" s="198" t="s">
        <v>73</v>
      </c>
      <c r="B82" s="200"/>
      <c r="C82" s="199"/>
      <c r="D82" s="29">
        <f>ROUND(D74+D80,2)</f>
        <v>6008.88</v>
      </c>
    </row>
    <row r="83" spans="1:4" x14ac:dyDescent="0.35">
      <c r="A83" s="20"/>
      <c r="B83" s="20"/>
      <c r="C83" s="20"/>
      <c r="D83" s="7"/>
    </row>
    <row r="84" spans="1:4" ht="35.25" customHeight="1" x14ac:dyDescent="0.35">
      <c r="A84" s="235" t="s">
        <v>63</v>
      </c>
      <c r="B84" s="235"/>
      <c r="C84" s="30">
        <f>ROUND(1-(SUM(C87:C89)/1),5)</f>
        <v>0.91349999999999998</v>
      </c>
      <c r="D84" s="29">
        <f>ROUND(D82/C84,2)</f>
        <v>6577.87</v>
      </c>
    </row>
    <row r="85" spans="1:4" x14ac:dyDescent="0.35">
      <c r="A85" s="3"/>
      <c r="B85" s="3"/>
      <c r="C85" s="3"/>
      <c r="D85" s="3"/>
    </row>
    <row r="86" spans="1:4" x14ac:dyDescent="0.35">
      <c r="A86" s="207" t="s">
        <v>53</v>
      </c>
      <c r="B86" s="208"/>
      <c r="C86" s="90" t="s">
        <v>6</v>
      </c>
      <c r="D86" s="90" t="s">
        <v>7</v>
      </c>
    </row>
    <row r="87" spans="1:4" ht="22" customHeight="1" x14ac:dyDescent="0.35">
      <c r="A87" s="176" t="s">
        <v>54</v>
      </c>
      <c r="B87" s="178"/>
      <c r="C87" s="13">
        <v>0.05</v>
      </c>
      <c r="D87" s="5">
        <f>ROUND($D$84*C87,2)</f>
        <v>328.89</v>
      </c>
    </row>
    <row r="88" spans="1:4" ht="22" customHeight="1" x14ac:dyDescent="0.35">
      <c r="A88" s="196" t="s">
        <v>55</v>
      </c>
      <c r="B88" s="197"/>
      <c r="C88" s="41">
        <v>0.03</v>
      </c>
      <c r="D88" s="42">
        <f>ROUND($D$84*C88,2)</f>
        <v>197.34</v>
      </c>
    </row>
    <row r="89" spans="1:4" ht="22" customHeight="1" x14ac:dyDescent="0.35">
      <c r="A89" s="176" t="s">
        <v>56</v>
      </c>
      <c r="B89" s="178"/>
      <c r="C89" s="13">
        <v>6.4999999999999997E-3</v>
      </c>
      <c r="D89" s="5">
        <f>ROUND($D$84*C89,2)</f>
        <v>42.76</v>
      </c>
    </row>
    <row r="90" spans="1:4" x14ac:dyDescent="0.35">
      <c r="A90" s="198" t="s">
        <v>57</v>
      </c>
      <c r="B90" s="199"/>
      <c r="C90" s="30">
        <f>ROUND(SUM(C87:C89),5)</f>
        <v>8.6499999999999994E-2</v>
      </c>
      <c r="D90" s="29">
        <f>ROUND(SUM(D87:D89),2)</f>
        <v>568.99</v>
      </c>
    </row>
    <row r="91" spans="1:4" ht="10" customHeight="1" x14ac:dyDescent="0.35">
      <c r="A91" s="3"/>
      <c r="B91" s="3"/>
      <c r="C91" s="3"/>
      <c r="D91" s="3"/>
    </row>
    <row r="92" spans="1:4" ht="25" customHeight="1" x14ac:dyDescent="0.35">
      <c r="A92" s="198" t="s">
        <v>58</v>
      </c>
      <c r="B92" s="200"/>
      <c r="C92" s="199"/>
      <c r="D92" s="29">
        <f>ROUND(D82+D90,2)</f>
        <v>6577.87</v>
      </c>
    </row>
    <row r="93" spans="1:4" ht="25" customHeight="1" x14ac:dyDescent="0.35">
      <c r="A93" s="198" t="s">
        <v>64</v>
      </c>
      <c r="B93" s="200"/>
      <c r="C93" s="199"/>
      <c r="D93" s="29">
        <f>ROUND(D92*12,2)</f>
        <v>78934.44</v>
      </c>
    </row>
    <row r="94" spans="1:4" ht="10" customHeight="1" x14ac:dyDescent="0.35">
      <c r="A94" s="20"/>
      <c r="B94" s="20"/>
      <c r="C94" s="20"/>
      <c r="D94" s="7"/>
    </row>
    <row r="95" spans="1:4" ht="15" customHeight="1" x14ac:dyDescent="0.35">
      <c r="A95" s="202" t="s">
        <v>59</v>
      </c>
      <c r="B95" s="202"/>
      <c r="C95" s="202"/>
      <c r="D95" s="27" t="s">
        <v>6</v>
      </c>
    </row>
    <row r="96" spans="1:4" ht="15" customHeight="1" x14ac:dyDescent="0.35">
      <c r="A96" s="201" t="s">
        <v>74</v>
      </c>
      <c r="B96" s="201"/>
      <c r="C96" s="201"/>
      <c r="D96" s="17">
        <f>C25</f>
        <v>0.378</v>
      </c>
    </row>
    <row r="97" spans="1:4" ht="15" customHeight="1" x14ac:dyDescent="0.35">
      <c r="A97" s="203" t="s">
        <v>29</v>
      </c>
      <c r="B97" s="203"/>
      <c r="C97" s="203"/>
      <c r="D97" s="43">
        <f>C37</f>
        <v>0.23483000000000001</v>
      </c>
    </row>
    <row r="98" spans="1:4" ht="15" customHeight="1" x14ac:dyDescent="0.35">
      <c r="A98" s="201" t="s">
        <v>34</v>
      </c>
      <c r="B98" s="201"/>
      <c r="C98" s="201"/>
      <c r="D98" s="17">
        <f>C43</f>
        <v>3.7839999999999999E-2</v>
      </c>
    </row>
    <row r="99" spans="1:4" ht="15" customHeight="1" x14ac:dyDescent="0.35">
      <c r="A99" s="203" t="s">
        <v>37</v>
      </c>
      <c r="B99" s="203"/>
      <c r="C99" s="203"/>
      <c r="D99" s="43">
        <f>C47</f>
        <v>8.8770000000000002E-2</v>
      </c>
    </row>
    <row r="100" spans="1:4" ht="15" customHeight="1" x14ac:dyDescent="0.35">
      <c r="A100" s="201" t="s">
        <v>40</v>
      </c>
      <c r="B100" s="201"/>
      <c r="C100" s="201"/>
      <c r="D100" s="17">
        <f>C51</f>
        <v>3.3E-4</v>
      </c>
    </row>
    <row r="101" spans="1:4" ht="15" customHeight="1" x14ac:dyDescent="0.35">
      <c r="A101" s="203" t="s">
        <v>43</v>
      </c>
      <c r="B101" s="203"/>
      <c r="C101" s="203"/>
      <c r="D101" s="43">
        <f>C55</f>
        <v>2.7299999999999998E-3</v>
      </c>
    </row>
    <row r="102" spans="1:4" ht="15" customHeight="1" x14ac:dyDescent="0.35">
      <c r="A102" s="236" t="s">
        <v>75</v>
      </c>
      <c r="B102" s="236"/>
      <c r="C102" s="236"/>
      <c r="D102" s="28">
        <f>ROUND(SUM(D96:D101),5)</f>
        <v>0.74250000000000005</v>
      </c>
    </row>
    <row r="103" spans="1:4" ht="10" customHeight="1" x14ac:dyDescent="0.35"/>
    <row r="104" spans="1:4" x14ac:dyDescent="0.35">
      <c r="A104" s="207" t="s">
        <v>268</v>
      </c>
      <c r="B104" s="208"/>
      <c r="C104" s="90" t="s">
        <v>269</v>
      </c>
      <c r="D104" s="27" t="s">
        <v>6</v>
      </c>
    </row>
    <row r="105" spans="1:4" x14ac:dyDescent="0.35">
      <c r="A105" s="212" t="s">
        <v>270</v>
      </c>
      <c r="B105" s="213"/>
      <c r="C105" s="110">
        <f>D13</f>
        <v>2700.5</v>
      </c>
      <c r="D105" s="17">
        <f>ROUND(C105/$C$109,5)</f>
        <v>0.41054000000000002</v>
      </c>
    </row>
    <row r="106" spans="1:4" ht="24.5" customHeight="1" x14ac:dyDescent="0.35">
      <c r="A106" s="229" t="s">
        <v>271</v>
      </c>
      <c r="B106" s="230"/>
      <c r="C106" s="111">
        <f>D56</f>
        <v>2005.12</v>
      </c>
      <c r="D106" s="43">
        <f>ROUND(C106/$C$109,5)</f>
        <v>0.30482999999999999</v>
      </c>
    </row>
    <row r="107" spans="1:4" x14ac:dyDescent="0.35">
      <c r="A107" s="212" t="s">
        <v>272</v>
      </c>
      <c r="B107" s="213"/>
      <c r="C107" s="110">
        <f>D72</f>
        <v>519.49</v>
      </c>
      <c r="D107" s="17">
        <f>ROUND(C107/$C$109,5)</f>
        <v>7.8979999999999995E-2</v>
      </c>
    </row>
    <row r="108" spans="1:4" x14ac:dyDescent="0.35">
      <c r="A108" s="229" t="s">
        <v>273</v>
      </c>
      <c r="B108" s="230"/>
      <c r="C108" s="111">
        <f>ROUND(D80+D90,2)</f>
        <v>1352.76</v>
      </c>
      <c r="D108" s="43">
        <f>ROUND(C108/$C$109,5)</f>
        <v>0.20565</v>
      </c>
    </row>
    <row r="109" spans="1:4" x14ac:dyDescent="0.35">
      <c r="A109" s="231" t="s">
        <v>274</v>
      </c>
      <c r="B109" s="232"/>
      <c r="C109" s="112">
        <f>ROUND(SUM(C105:C108),2)</f>
        <v>6577.87</v>
      </c>
      <c r="D109" s="30">
        <f>ROUND(SUM(D105:D108),5)</f>
        <v>1</v>
      </c>
    </row>
  </sheetData>
  <mergeCells count="92">
    <mergeCell ref="A104:B104"/>
    <mergeCell ref="A98:C98"/>
    <mergeCell ref="A99:C99"/>
    <mergeCell ref="A100:C100"/>
    <mergeCell ref="A101:C101"/>
    <mergeCell ref="A102:C102"/>
    <mergeCell ref="A105:B105"/>
    <mergeCell ref="A106:B106"/>
    <mergeCell ref="A107:B107"/>
    <mergeCell ref="A108:B108"/>
    <mergeCell ref="A109:B109"/>
    <mergeCell ref="A97:C97"/>
    <mergeCell ref="A80:B80"/>
    <mergeCell ref="A82:C82"/>
    <mergeCell ref="A84:B84"/>
    <mergeCell ref="A86:B86"/>
    <mergeCell ref="A90:B90"/>
    <mergeCell ref="A92:C92"/>
    <mergeCell ref="A93:C93"/>
    <mergeCell ref="A95:C95"/>
    <mergeCell ref="A96:C96"/>
    <mergeCell ref="A87:B87"/>
    <mergeCell ref="A88:B88"/>
    <mergeCell ref="A89:B89"/>
    <mergeCell ref="A74:C74"/>
    <mergeCell ref="A76:D76"/>
    <mergeCell ref="A77:B77"/>
    <mergeCell ref="A78:B78"/>
    <mergeCell ref="A79:B79"/>
    <mergeCell ref="A68:B68"/>
    <mergeCell ref="A69:B69"/>
    <mergeCell ref="A70:B70"/>
    <mergeCell ref="A71:B71"/>
    <mergeCell ref="A72:C72"/>
    <mergeCell ref="A58:C58"/>
    <mergeCell ref="A46:B46"/>
    <mergeCell ref="A47:B47"/>
    <mergeCell ref="A49:B49"/>
    <mergeCell ref="A67:B67"/>
    <mergeCell ref="A60:D60"/>
    <mergeCell ref="A61:B61"/>
    <mergeCell ref="A62:B62"/>
    <mergeCell ref="A63:B63"/>
    <mergeCell ref="A64:B64"/>
    <mergeCell ref="A65:B65"/>
    <mergeCell ref="A66:B66"/>
    <mergeCell ref="A51:B51"/>
    <mergeCell ref="A53:B53"/>
    <mergeCell ref="A54:B54"/>
    <mergeCell ref="A55:B55"/>
    <mergeCell ref="A56:B56"/>
    <mergeCell ref="A31:B31"/>
    <mergeCell ref="A32:B32"/>
    <mergeCell ref="A33:B33"/>
    <mergeCell ref="A50:B50"/>
    <mergeCell ref="A40:B40"/>
    <mergeCell ref="A41:B41"/>
    <mergeCell ref="A42:B42"/>
    <mergeCell ref="A43:B43"/>
    <mergeCell ref="A45:B45"/>
    <mergeCell ref="A34:B34"/>
    <mergeCell ref="A35:B35"/>
    <mergeCell ref="A36:B36"/>
    <mergeCell ref="A37:B37"/>
    <mergeCell ref="A39:B39"/>
    <mergeCell ref="A25:B25"/>
    <mergeCell ref="A27:B27"/>
    <mergeCell ref="A28:B28"/>
    <mergeCell ref="A29:B29"/>
    <mergeCell ref="A30:B30"/>
    <mergeCell ref="A23:B23"/>
    <mergeCell ref="A24:B24"/>
    <mergeCell ref="A13:C13"/>
    <mergeCell ref="A15:D15"/>
    <mergeCell ref="A16:B16"/>
    <mergeCell ref="A17:B17"/>
    <mergeCell ref="A18:B18"/>
    <mergeCell ref="B6:D6"/>
    <mergeCell ref="A19:B19"/>
    <mergeCell ref="A20:B20"/>
    <mergeCell ref="A21:B21"/>
    <mergeCell ref="A22:B22"/>
    <mergeCell ref="A8:D8"/>
    <mergeCell ref="A9:D9"/>
    <mergeCell ref="A10:B10"/>
    <mergeCell ref="A11:B11"/>
    <mergeCell ref="A12:B12"/>
    <mergeCell ref="A1:D1"/>
    <mergeCell ref="B2:D2"/>
    <mergeCell ref="B3:D3"/>
    <mergeCell ref="B4:D4"/>
    <mergeCell ref="B5:D5"/>
  </mergeCells>
  <pageMargins left="0.23622047244094491" right="0.23622047244094491" top="1.3385826771653544" bottom="0.74803149606299213" header="0.9055118110236221" footer="0.31496062992125984"/>
  <pageSetup fitToHeight="0" orientation="landscape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32E08-0210-4D90-8A8A-2478CFD128CB}">
  <sheetPr codeName="Planilha12">
    <pageSetUpPr fitToPage="1"/>
  </sheetPr>
  <dimension ref="A1:D109"/>
  <sheetViews>
    <sheetView view="pageBreakPreview" zoomScaleNormal="100" zoomScaleSheetLayoutView="100" workbookViewId="0">
      <selection activeCell="G4" sqref="G4"/>
    </sheetView>
  </sheetViews>
  <sheetFormatPr defaultRowHeight="14.5" x14ac:dyDescent="0.35"/>
  <cols>
    <col min="1" max="1" width="33.453125" customWidth="1"/>
    <col min="2" max="2" width="14.54296875" customWidth="1"/>
    <col min="3" max="3" width="10.81640625" customWidth="1"/>
    <col min="4" max="4" width="12.26953125" customWidth="1"/>
  </cols>
  <sheetData>
    <row r="1" spans="1:4" ht="24" customHeight="1" x14ac:dyDescent="0.35">
      <c r="A1" s="218" t="s">
        <v>0</v>
      </c>
      <c r="B1" s="218"/>
      <c r="C1" s="218"/>
      <c r="D1" s="218"/>
    </row>
    <row r="2" spans="1:4" ht="30.5" customHeight="1" x14ac:dyDescent="0.35">
      <c r="A2" s="23" t="s">
        <v>2</v>
      </c>
      <c r="B2" s="214" t="str">
        <f>'Quantidade de Cargo'!A10</f>
        <v>Assistente de Comunicação</v>
      </c>
      <c r="C2" s="215"/>
      <c r="D2" s="216"/>
    </row>
    <row r="3" spans="1:4" ht="15" customHeight="1" x14ac:dyDescent="0.35">
      <c r="A3" s="23" t="s">
        <v>61</v>
      </c>
      <c r="B3" s="219" t="str">
        <f>'Salario Base'!B13</f>
        <v>1423-35</v>
      </c>
      <c r="C3" s="220"/>
      <c r="D3" s="221"/>
    </row>
    <row r="4" spans="1:4" ht="15" customHeight="1" x14ac:dyDescent="0.35">
      <c r="A4" s="24" t="s">
        <v>1</v>
      </c>
      <c r="B4" s="214" t="s">
        <v>143</v>
      </c>
      <c r="C4" s="215"/>
      <c r="D4" s="216"/>
    </row>
    <row r="5" spans="1:4" ht="26" x14ac:dyDescent="0.35">
      <c r="A5" s="24" t="s">
        <v>3</v>
      </c>
      <c r="B5" s="222">
        <v>1</v>
      </c>
      <c r="C5" s="220"/>
      <c r="D5" s="221"/>
    </row>
    <row r="6" spans="1:4" ht="65.5" customHeight="1" x14ac:dyDescent="0.35">
      <c r="A6" s="24" t="s">
        <v>62</v>
      </c>
      <c r="B6" s="214" t="s">
        <v>275</v>
      </c>
      <c r="C6" s="215"/>
      <c r="D6" s="216"/>
    </row>
    <row r="7" spans="1:4" ht="15" customHeight="1" x14ac:dyDescent="0.35">
      <c r="A7" s="2"/>
      <c r="B7" s="16"/>
      <c r="C7" s="3"/>
      <c r="D7" s="3"/>
    </row>
    <row r="8" spans="1:4" x14ac:dyDescent="0.35">
      <c r="A8" s="223" t="s">
        <v>4</v>
      </c>
      <c r="B8" s="223"/>
      <c r="C8" s="223"/>
      <c r="D8" s="223"/>
    </row>
    <row r="9" spans="1:4" x14ac:dyDescent="0.35">
      <c r="A9" s="224" t="s">
        <v>70</v>
      </c>
      <c r="B9" s="225"/>
      <c r="C9" s="225"/>
      <c r="D9" s="226"/>
    </row>
    <row r="10" spans="1:4" x14ac:dyDescent="0.35">
      <c r="A10" s="227" t="s">
        <v>5</v>
      </c>
      <c r="B10" s="228"/>
      <c r="C10" s="90" t="s">
        <v>6</v>
      </c>
      <c r="D10" s="90" t="s">
        <v>7</v>
      </c>
    </row>
    <row r="11" spans="1:4" ht="40.5" customHeight="1" x14ac:dyDescent="0.35">
      <c r="A11" s="176" t="s">
        <v>8</v>
      </c>
      <c r="B11" s="178"/>
      <c r="C11" s="91" t="s">
        <v>60</v>
      </c>
      <c r="D11" s="4">
        <f>'Salario Base'!C13</f>
        <v>2489.83</v>
      </c>
    </row>
    <row r="12" spans="1:4" ht="15" customHeight="1" x14ac:dyDescent="0.35">
      <c r="A12" s="229" t="s">
        <v>66</v>
      </c>
      <c r="B12" s="230"/>
      <c r="C12" s="53"/>
      <c r="D12" s="42">
        <f>C12*D11/100</f>
        <v>0</v>
      </c>
    </row>
    <row r="13" spans="1:4" x14ac:dyDescent="0.35">
      <c r="A13" s="217" t="s">
        <v>20</v>
      </c>
      <c r="B13" s="217"/>
      <c r="C13" s="217"/>
      <c r="D13" s="29">
        <f>ROUND(SUM(D11:D12),2)</f>
        <v>2489.83</v>
      </c>
    </row>
    <row r="14" spans="1:4" x14ac:dyDescent="0.35">
      <c r="A14" s="3"/>
      <c r="B14" s="3"/>
      <c r="C14" s="3"/>
      <c r="D14" s="3"/>
    </row>
    <row r="15" spans="1:4" x14ac:dyDescent="0.35">
      <c r="A15" s="202" t="s">
        <v>71</v>
      </c>
      <c r="B15" s="202"/>
      <c r="C15" s="202"/>
      <c r="D15" s="202"/>
    </row>
    <row r="16" spans="1:4" x14ac:dyDescent="0.35">
      <c r="A16" s="202" t="s">
        <v>10</v>
      </c>
      <c r="B16" s="202"/>
      <c r="C16" s="90" t="s">
        <v>6</v>
      </c>
      <c r="D16" s="90" t="s">
        <v>7</v>
      </c>
    </row>
    <row r="17" spans="1:4" x14ac:dyDescent="0.35">
      <c r="A17" s="176" t="s">
        <v>11</v>
      </c>
      <c r="B17" s="178"/>
      <c r="C17" s="11">
        <v>0.2</v>
      </c>
      <c r="D17" s="5">
        <f>ROUND($D$13*C17,2)</f>
        <v>497.97</v>
      </c>
    </row>
    <row r="18" spans="1:4" x14ac:dyDescent="0.35">
      <c r="A18" s="196" t="s">
        <v>12</v>
      </c>
      <c r="B18" s="197"/>
      <c r="C18" s="52">
        <v>0.08</v>
      </c>
      <c r="D18" s="42">
        <f t="shared" ref="D18:D24" si="0">ROUND($D$13*C18,2)</f>
        <v>199.19</v>
      </c>
    </row>
    <row r="19" spans="1:4" x14ac:dyDescent="0.35">
      <c r="A19" s="176" t="s">
        <v>13</v>
      </c>
      <c r="B19" s="178"/>
      <c r="C19" s="11">
        <v>1.4999999999999999E-2</v>
      </c>
      <c r="D19" s="5">
        <f t="shared" si="0"/>
        <v>37.35</v>
      </c>
    </row>
    <row r="20" spans="1:4" ht="25.5" customHeight="1" x14ac:dyDescent="0.35">
      <c r="A20" s="196" t="s">
        <v>14</v>
      </c>
      <c r="B20" s="197"/>
      <c r="C20" s="52">
        <v>0.01</v>
      </c>
      <c r="D20" s="42">
        <f t="shared" si="0"/>
        <v>24.9</v>
      </c>
    </row>
    <row r="21" spans="1:4" ht="28.5" customHeight="1" x14ac:dyDescent="0.35">
      <c r="A21" s="176" t="s">
        <v>15</v>
      </c>
      <c r="B21" s="178"/>
      <c r="C21" s="11">
        <v>2E-3</v>
      </c>
      <c r="D21" s="5">
        <f t="shared" si="0"/>
        <v>4.9800000000000004</v>
      </c>
    </row>
    <row r="22" spans="1:4" x14ac:dyDescent="0.35">
      <c r="A22" s="196" t="s">
        <v>16</v>
      </c>
      <c r="B22" s="197"/>
      <c r="C22" s="52">
        <v>6.0000000000000001E-3</v>
      </c>
      <c r="D22" s="42">
        <f t="shared" si="0"/>
        <v>14.94</v>
      </c>
    </row>
    <row r="23" spans="1:4" x14ac:dyDescent="0.35">
      <c r="A23" s="212" t="s">
        <v>17</v>
      </c>
      <c r="B23" s="213"/>
      <c r="C23" s="11">
        <v>2.5000000000000001E-2</v>
      </c>
      <c r="D23" s="5">
        <f t="shared" si="0"/>
        <v>62.25</v>
      </c>
    </row>
    <row r="24" spans="1:4" ht="39.75" customHeight="1" x14ac:dyDescent="0.35">
      <c r="A24" s="229" t="s">
        <v>18</v>
      </c>
      <c r="B24" s="230"/>
      <c r="C24" s="50">
        <v>0.04</v>
      </c>
      <c r="D24" s="42">
        <f t="shared" si="0"/>
        <v>99.59</v>
      </c>
    </row>
    <row r="25" spans="1:4" x14ac:dyDescent="0.35">
      <c r="A25" s="198" t="s">
        <v>19</v>
      </c>
      <c r="B25" s="199"/>
      <c r="C25" s="30">
        <f>ROUND(SUM(C17:C24),5)</f>
        <v>0.378</v>
      </c>
      <c r="D25" s="29">
        <f>ROUND(SUM(D17:D24),2)</f>
        <v>941.17</v>
      </c>
    </row>
    <row r="26" spans="1:4" x14ac:dyDescent="0.35">
      <c r="A26" s="20"/>
      <c r="B26" s="20"/>
      <c r="C26" s="6"/>
      <c r="D26" s="7"/>
    </row>
    <row r="27" spans="1:4" x14ac:dyDescent="0.35">
      <c r="A27" s="202" t="s">
        <v>21</v>
      </c>
      <c r="B27" s="202"/>
      <c r="C27" s="90" t="s">
        <v>6</v>
      </c>
      <c r="D27" s="90" t="s">
        <v>7</v>
      </c>
    </row>
    <row r="28" spans="1:4" ht="25" customHeight="1" x14ac:dyDescent="0.35">
      <c r="A28" s="212" t="s">
        <v>22</v>
      </c>
      <c r="B28" s="213"/>
      <c r="C28" s="9">
        <f>ROUND(1/12,5)</f>
        <v>8.3330000000000001E-2</v>
      </c>
      <c r="D28" s="5">
        <f>ROUND($D$13*C28,2)</f>
        <v>207.48</v>
      </c>
    </row>
    <row r="29" spans="1:4" ht="25" customHeight="1" x14ac:dyDescent="0.35">
      <c r="A29" s="196" t="s">
        <v>263</v>
      </c>
      <c r="B29" s="197"/>
      <c r="C29" s="51">
        <f>ROUND((1/3)/12,5)</f>
        <v>2.7779999999999999E-2</v>
      </c>
      <c r="D29" s="42">
        <f t="shared" ref="D29:D36" si="1">ROUND($D$13*C29,2)</f>
        <v>69.17</v>
      </c>
    </row>
    <row r="30" spans="1:4" ht="25" customHeight="1" x14ac:dyDescent="0.35">
      <c r="A30" s="176" t="s">
        <v>23</v>
      </c>
      <c r="B30" s="178"/>
      <c r="C30" s="10">
        <f>ROUND((((100% / 30) * 7) / 12),5)</f>
        <v>1.9439999999999999E-2</v>
      </c>
      <c r="D30" s="5">
        <f t="shared" si="1"/>
        <v>48.4</v>
      </c>
    </row>
    <row r="31" spans="1:4" ht="25" customHeight="1" x14ac:dyDescent="0.35">
      <c r="A31" s="196" t="s">
        <v>24</v>
      </c>
      <c r="B31" s="197"/>
      <c r="C31" s="51">
        <f>ROUND((5/30)/12,5)</f>
        <v>1.389E-2</v>
      </c>
      <c r="D31" s="42">
        <f t="shared" si="1"/>
        <v>34.58</v>
      </c>
    </row>
    <row r="32" spans="1:4" ht="25" customHeight="1" x14ac:dyDescent="0.35">
      <c r="A32" s="176" t="s">
        <v>25</v>
      </c>
      <c r="B32" s="178"/>
      <c r="C32" s="10">
        <f>ROUND(((15/30/12)*0.08),5)</f>
        <v>3.3300000000000001E-3</v>
      </c>
      <c r="D32" s="5">
        <f t="shared" si="1"/>
        <v>8.2899999999999991</v>
      </c>
    </row>
    <row r="33" spans="1:4" ht="25" customHeight="1" x14ac:dyDescent="0.35">
      <c r="A33" s="196" t="s">
        <v>26</v>
      </c>
      <c r="B33" s="197"/>
      <c r="C33" s="51">
        <f>ROUND((1/30)/12,5)</f>
        <v>2.7799999999999999E-3</v>
      </c>
      <c r="D33" s="42">
        <f t="shared" si="1"/>
        <v>6.92</v>
      </c>
    </row>
    <row r="34" spans="1:4" ht="25" customHeight="1" x14ac:dyDescent="0.35">
      <c r="A34" s="176" t="s">
        <v>27</v>
      </c>
      <c r="B34" s="178"/>
      <c r="C34" s="10">
        <f>ROUND(0.1111*0.02*0.333,5)</f>
        <v>7.3999999999999999E-4</v>
      </c>
      <c r="D34" s="5">
        <f t="shared" si="1"/>
        <v>1.84</v>
      </c>
    </row>
    <row r="35" spans="1:4" ht="25" customHeight="1" x14ac:dyDescent="0.35">
      <c r="A35" s="196" t="s">
        <v>28</v>
      </c>
      <c r="B35" s="197"/>
      <c r="C35" s="51">
        <f>ROUND(((5/30)/12)*0.015,5)</f>
        <v>2.1000000000000001E-4</v>
      </c>
      <c r="D35" s="42">
        <f t="shared" si="1"/>
        <v>0.52</v>
      </c>
    </row>
    <row r="36" spans="1:4" ht="25" customHeight="1" x14ac:dyDescent="0.35">
      <c r="A36" s="176" t="s">
        <v>264</v>
      </c>
      <c r="B36" s="178"/>
      <c r="C36" s="10">
        <f>ROUND(1/12,5)</f>
        <v>8.3330000000000001E-2</v>
      </c>
      <c r="D36" s="5">
        <f t="shared" si="1"/>
        <v>207.48</v>
      </c>
    </row>
    <row r="37" spans="1:4" x14ac:dyDescent="0.35">
      <c r="A37" s="198" t="s">
        <v>29</v>
      </c>
      <c r="B37" s="199"/>
      <c r="C37" s="30">
        <f>ROUND(SUM(C28:C36),5)</f>
        <v>0.23483000000000001</v>
      </c>
      <c r="D37" s="29">
        <f>ROUND(SUM(D28:D36),2)</f>
        <v>584.67999999999995</v>
      </c>
    </row>
    <row r="38" spans="1:4" x14ac:dyDescent="0.35">
      <c r="A38" s="20"/>
      <c r="B38" s="20"/>
      <c r="C38" s="8"/>
      <c r="D38" s="7"/>
    </row>
    <row r="39" spans="1:4" x14ac:dyDescent="0.35">
      <c r="A39" s="207" t="s">
        <v>30</v>
      </c>
      <c r="B39" s="208"/>
      <c r="C39" s="90" t="s">
        <v>6</v>
      </c>
      <c r="D39" s="90" t="s">
        <v>7</v>
      </c>
    </row>
    <row r="40" spans="1:4" ht="25" customHeight="1" x14ac:dyDescent="0.35">
      <c r="A40" s="210" t="s">
        <v>31</v>
      </c>
      <c r="B40" s="211"/>
      <c r="C40" s="12">
        <f>ROUND(1/12*5%,5)</f>
        <v>4.1700000000000001E-3</v>
      </c>
      <c r="D40" s="54">
        <f>ROUND($D$13*C40,2)</f>
        <v>10.38</v>
      </c>
    </row>
    <row r="41" spans="1:4" ht="25" customHeight="1" x14ac:dyDescent="0.35">
      <c r="A41" s="196" t="s">
        <v>32</v>
      </c>
      <c r="B41" s="197"/>
      <c r="C41" s="50">
        <f>ROUND(0.02*(1/12),5)</f>
        <v>1.67E-3</v>
      </c>
      <c r="D41" s="42">
        <f>ROUND($D$13*C41,2)</f>
        <v>4.16</v>
      </c>
    </row>
    <row r="42" spans="1:4" ht="25" customHeight="1" x14ac:dyDescent="0.35">
      <c r="A42" s="210" t="s">
        <v>33</v>
      </c>
      <c r="B42" s="211"/>
      <c r="C42" s="15">
        <f>ROUND(40%*8%,5)</f>
        <v>3.2000000000000001E-2</v>
      </c>
      <c r="D42" s="54">
        <f>ROUND($D$13*C42,2)</f>
        <v>79.67</v>
      </c>
    </row>
    <row r="43" spans="1:4" x14ac:dyDescent="0.35">
      <c r="A43" s="198" t="s">
        <v>34</v>
      </c>
      <c r="B43" s="199"/>
      <c r="C43" s="30">
        <f>ROUND(SUM(C40:C42),5)</f>
        <v>3.7839999999999999E-2</v>
      </c>
      <c r="D43" s="29">
        <f>ROUND(SUM(D40:D42),2)</f>
        <v>94.21</v>
      </c>
    </row>
    <row r="44" spans="1:4" x14ac:dyDescent="0.35">
      <c r="A44" s="20"/>
      <c r="B44" s="20"/>
      <c r="C44" s="8"/>
      <c r="D44" s="7"/>
    </row>
    <row r="45" spans="1:4" x14ac:dyDescent="0.35">
      <c r="A45" s="207" t="s">
        <v>35</v>
      </c>
      <c r="B45" s="208"/>
      <c r="C45" s="90" t="s">
        <v>6</v>
      </c>
      <c r="D45" s="90" t="s">
        <v>7</v>
      </c>
    </row>
    <row r="46" spans="1:4" ht="29" customHeight="1" x14ac:dyDescent="0.35">
      <c r="A46" s="176" t="s">
        <v>36</v>
      </c>
      <c r="B46" s="178"/>
      <c r="C46" s="14">
        <f>ROUND(C25*C37,5)</f>
        <v>8.8770000000000002E-2</v>
      </c>
      <c r="D46" s="5">
        <f>ROUND($D$13*C46,2)</f>
        <v>221.02</v>
      </c>
    </row>
    <row r="47" spans="1:4" x14ac:dyDescent="0.35">
      <c r="A47" s="198" t="s">
        <v>37</v>
      </c>
      <c r="B47" s="199"/>
      <c r="C47" s="30">
        <f>ROUND(SUM(C46),5)</f>
        <v>8.8770000000000002E-2</v>
      </c>
      <c r="D47" s="29">
        <f>ROUND(SUM(D46),2)</f>
        <v>221.02</v>
      </c>
    </row>
    <row r="48" spans="1:4" x14ac:dyDescent="0.35">
      <c r="A48" s="20"/>
      <c r="B48" s="20"/>
      <c r="C48" s="8"/>
      <c r="D48" s="7"/>
    </row>
    <row r="49" spans="1:4" x14ac:dyDescent="0.35">
      <c r="A49" s="207" t="s">
        <v>38</v>
      </c>
      <c r="B49" s="208"/>
      <c r="C49" s="90" t="s">
        <v>6</v>
      </c>
      <c r="D49" s="90" t="s">
        <v>7</v>
      </c>
    </row>
    <row r="50" spans="1:4" ht="65.5" customHeight="1" x14ac:dyDescent="0.35">
      <c r="A50" s="176" t="s">
        <v>39</v>
      </c>
      <c r="B50" s="178"/>
      <c r="C50" s="15">
        <f>ROUND(8%*C40,5)</f>
        <v>3.3E-4</v>
      </c>
      <c r="D50" s="5">
        <f>ROUND($D$13*C50,2)</f>
        <v>0.82</v>
      </c>
    </row>
    <row r="51" spans="1:4" x14ac:dyDescent="0.35">
      <c r="A51" s="198" t="s">
        <v>40</v>
      </c>
      <c r="B51" s="199"/>
      <c r="C51" s="30">
        <f>ROUND(SUM(C50:C50),5)</f>
        <v>3.3E-4</v>
      </c>
      <c r="D51" s="29">
        <f>ROUND(SUM(D50:D50),2)</f>
        <v>0.82</v>
      </c>
    </row>
    <row r="52" spans="1:4" x14ac:dyDescent="0.35">
      <c r="A52" s="20"/>
      <c r="B52" s="20"/>
      <c r="C52" s="8"/>
      <c r="D52" s="7"/>
    </row>
    <row r="53" spans="1:4" x14ac:dyDescent="0.35">
      <c r="A53" s="207" t="s">
        <v>41</v>
      </c>
      <c r="B53" s="208"/>
      <c r="C53" s="90" t="s">
        <v>6</v>
      </c>
      <c r="D53" s="90" t="s">
        <v>7</v>
      </c>
    </row>
    <row r="54" spans="1:4" ht="114" customHeight="1" x14ac:dyDescent="0.35">
      <c r="A54" s="176" t="s">
        <v>42</v>
      </c>
      <c r="B54" s="178"/>
      <c r="C54" s="14">
        <f>ROUND(C25*(13/12)*(4/12)*2/100,5)</f>
        <v>2.7299999999999998E-3</v>
      </c>
      <c r="D54" s="5">
        <f>ROUND($D$13*C54,2)</f>
        <v>6.8</v>
      </c>
    </row>
    <row r="55" spans="1:4" x14ac:dyDescent="0.35">
      <c r="A55" s="198" t="s">
        <v>43</v>
      </c>
      <c r="B55" s="199"/>
      <c r="C55" s="30">
        <f>ROUND(SUM(C54),5)</f>
        <v>2.7299999999999998E-3</v>
      </c>
      <c r="D55" s="29">
        <f>ROUND(SUM(D54),2)</f>
        <v>6.8</v>
      </c>
    </row>
    <row r="56" spans="1:4" x14ac:dyDescent="0.35">
      <c r="A56" s="198" t="s">
        <v>44</v>
      </c>
      <c r="B56" s="199"/>
      <c r="C56" s="30">
        <f>ROUND(C25+C37+C43+C47+C51+C55,5)</f>
        <v>0.74250000000000005</v>
      </c>
      <c r="D56" s="29">
        <f>ROUND(D25+D37+D43+D47+D51+D55,2)</f>
        <v>1848.7</v>
      </c>
    </row>
    <row r="57" spans="1:4" ht="15" customHeight="1" x14ac:dyDescent="0.35">
      <c r="A57" s="20"/>
      <c r="B57" s="20"/>
      <c r="C57" s="8"/>
      <c r="D57" s="7"/>
    </row>
    <row r="58" spans="1:4" ht="15" customHeight="1" x14ac:dyDescent="0.35">
      <c r="A58" s="198" t="s">
        <v>45</v>
      </c>
      <c r="B58" s="200"/>
      <c r="C58" s="199"/>
      <c r="D58" s="29">
        <f>D13+D56</f>
        <v>4338.53</v>
      </c>
    </row>
    <row r="59" spans="1:4" ht="15" customHeight="1" x14ac:dyDescent="0.35">
      <c r="A59" s="3"/>
      <c r="B59" s="3"/>
      <c r="C59" s="3"/>
      <c r="D59" s="3"/>
    </row>
    <row r="60" spans="1:4" ht="15" customHeight="1" x14ac:dyDescent="0.35">
      <c r="A60" s="202" t="s">
        <v>72</v>
      </c>
      <c r="B60" s="202"/>
      <c r="C60" s="202"/>
      <c r="D60" s="202"/>
    </row>
    <row r="61" spans="1:4" x14ac:dyDescent="0.35">
      <c r="A61" s="202" t="s">
        <v>46</v>
      </c>
      <c r="B61" s="202"/>
      <c r="C61" s="90" t="s">
        <v>218</v>
      </c>
      <c r="D61" s="92" t="s">
        <v>7</v>
      </c>
    </row>
    <row r="62" spans="1:4" ht="96" customHeight="1" x14ac:dyDescent="0.35">
      <c r="A62" s="206" t="s">
        <v>91</v>
      </c>
      <c r="B62" s="206"/>
      <c r="C62" s="33">
        <v>15</v>
      </c>
      <c r="D62" s="33">
        <f>ROUND(C62*22,2)</f>
        <v>330</v>
      </c>
    </row>
    <row r="63" spans="1:4" ht="53.5" customHeight="1" x14ac:dyDescent="0.35">
      <c r="A63" s="209" t="s">
        <v>92</v>
      </c>
      <c r="B63" s="209"/>
      <c r="C63" s="101">
        <v>0.1</v>
      </c>
      <c r="D63" s="49">
        <f>ROUND(D62*C63,2)*-1</f>
        <v>-33</v>
      </c>
    </row>
    <row r="64" spans="1:4" ht="29.5" customHeight="1" x14ac:dyDescent="0.35">
      <c r="A64" s="206" t="s">
        <v>78</v>
      </c>
      <c r="B64" s="206"/>
      <c r="C64" s="33">
        <v>100</v>
      </c>
      <c r="D64" s="33">
        <f>C64</f>
        <v>100</v>
      </c>
    </row>
    <row r="65" spans="1:4" ht="102.5" customHeight="1" x14ac:dyDescent="0.35">
      <c r="A65" s="205" t="s">
        <v>93</v>
      </c>
      <c r="B65" s="205"/>
      <c r="C65" s="102">
        <v>3.8</v>
      </c>
      <c r="D65" s="47">
        <f>ROUND(C65*2*22,2)</f>
        <v>167.2</v>
      </c>
    </row>
    <row r="66" spans="1:4" ht="62" customHeight="1" x14ac:dyDescent="0.35">
      <c r="A66" s="204" t="s">
        <v>94</v>
      </c>
      <c r="B66" s="204"/>
      <c r="C66" s="103">
        <v>0.06</v>
      </c>
      <c r="D66" s="34">
        <f>IF(D11*C66&gt;D65,"-",ROUND(D11*C66,2)*-1)</f>
        <v>-149.38999999999999</v>
      </c>
    </row>
    <row r="67" spans="1:4" ht="29.5" customHeight="1" x14ac:dyDescent="0.35">
      <c r="A67" s="205" t="s">
        <v>79</v>
      </c>
      <c r="B67" s="205"/>
      <c r="C67" s="102">
        <v>15</v>
      </c>
      <c r="D67" s="47">
        <f>C67</f>
        <v>15</v>
      </c>
    </row>
    <row r="68" spans="1:4" ht="44.5" customHeight="1" x14ac:dyDescent="0.35">
      <c r="A68" s="206" t="s">
        <v>219</v>
      </c>
      <c r="B68" s="206"/>
      <c r="C68" s="104">
        <v>10</v>
      </c>
      <c r="D68" s="33">
        <f>C68</f>
        <v>10</v>
      </c>
    </row>
    <row r="69" spans="1:4" ht="29.5" customHeight="1" x14ac:dyDescent="0.35">
      <c r="A69" s="205" t="s">
        <v>95</v>
      </c>
      <c r="B69" s="205"/>
      <c r="C69" s="102">
        <v>10</v>
      </c>
      <c r="D69" s="47">
        <f>C69</f>
        <v>10</v>
      </c>
    </row>
    <row r="70" spans="1:4" ht="25.5" customHeight="1" x14ac:dyDescent="0.35">
      <c r="A70" s="206" t="s">
        <v>47</v>
      </c>
      <c r="B70" s="206"/>
      <c r="C70" s="60" t="s">
        <v>60</v>
      </c>
      <c r="D70" s="33">
        <f>'Uniforme Tipo I'!F13</f>
        <v>82.32</v>
      </c>
    </row>
    <row r="71" spans="1:4" ht="25.5" customHeight="1" x14ac:dyDescent="0.35">
      <c r="A71" s="233" t="s">
        <v>265</v>
      </c>
      <c r="B71" s="234"/>
      <c r="C71" s="61" t="s">
        <v>60</v>
      </c>
      <c r="D71" s="45">
        <f>'Manutenção Equip.'!F7</f>
        <v>22.3</v>
      </c>
    </row>
    <row r="72" spans="1:4" ht="15" customHeight="1" x14ac:dyDescent="0.35">
      <c r="A72" s="217" t="s">
        <v>48</v>
      </c>
      <c r="B72" s="217"/>
      <c r="C72" s="217"/>
      <c r="D72" s="29">
        <f>ROUND(SUM(D62:D70),2)</f>
        <v>532.13</v>
      </c>
    </row>
    <row r="73" spans="1:4" x14ac:dyDescent="0.35">
      <c r="A73" s="20"/>
      <c r="B73" s="20"/>
      <c r="C73" s="20"/>
      <c r="D73" s="7"/>
    </row>
    <row r="74" spans="1:4" ht="30" customHeight="1" x14ac:dyDescent="0.35">
      <c r="A74" s="198" t="s">
        <v>49</v>
      </c>
      <c r="B74" s="200"/>
      <c r="C74" s="199"/>
      <c r="D74" s="29">
        <f>ROUND(D58+D72,2)</f>
        <v>4870.66</v>
      </c>
    </row>
    <row r="75" spans="1:4" x14ac:dyDescent="0.35">
      <c r="A75" s="20"/>
      <c r="B75" s="20"/>
      <c r="C75" s="20"/>
      <c r="D75" s="7"/>
    </row>
    <row r="76" spans="1:4" x14ac:dyDescent="0.35">
      <c r="A76" s="202" t="s">
        <v>88</v>
      </c>
      <c r="B76" s="202"/>
      <c r="C76" s="202"/>
      <c r="D76" s="202"/>
    </row>
    <row r="77" spans="1:4" x14ac:dyDescent="0.35">
      <c r="A77" s="207" t="s">
        <v>50</v>
      </c>
      <c r="B77" s="208"/>
      <c r="C77" s="90" t="s">
        <v>6</v>
      </c>
      <c r="D77" s="90" t="s">
        <v>7</v>
      </c>
    </row>
    <row r="78" spans="1:4" s="1" customFormat="1" ht="30" customHeight="1" x14ac:dyDescent="0.3">
      <c r="A78" s="176" t="s">
        <v>51</v>
      </c>
      <c r="B78" s="178"/>
      <c r="C78" s="13">
        <v>0.05</v>
      </c>
      <c r="D78" s="18">
        <f>ROUND(D74*C78,2)</f>
        <v>243.53</v>
      </c>
    </row>
    <row r="79" spans="1:4" s="1" customFormat="1" ht="30" customHeight="1" x14ac:dyDescent="0.3">
      <c r="A79" s="196" t="s">
        <v>9</v>
      </c>
      <c r="B79" s="197"/>
      <c r="C79" s="41">
        <v>0.1</v>
      </c>
      <c r="D79" s="44">
        <f>ROUND(D74*C79,2)</f>
        <v>487.07</v>
      </c>
    </row>
    <row r="80" spans="1:4" x14ac:dyDescent="0.35">
      <c r="A80" s="198" t="s">
        <v>52</v>
      </c>
      <c r="B80" s="199"/>
      <c r="C80" s="31">
        <f>ROUND(SUM(C78:C79),5)</f>
        <v>0.15</v>
      </c>
      <c r="D80" s="29">
        <f>SUM(D78:D79)</f>
        <v>730.6</v>
      </c>
    </row>
    <row r="81" spans="1:4" x14ac:dyDescent="0.35">
      <c r="A81" s="20"/>
      <c r="B81" s="20"/>
      <c r="C81" s="6"/>
      <c r="D81" s="7"/>
    </row>
    <row r="82" spans="1:4" ht="30" customHeight="1" x14ac:dyDescent="0.35">
      <c r="A82" s="198" t="s">
        <v>73</v>
      </c>
      <c r="B82" s="200"/>
      <c r="C82" s="199"/>
      <c r="D82" s="29">
        <f>ROUND(D74+D80,2)</f>
        <v>5601.26</v>
      </c>
    </row>
    <row r="83" spans="1:4" x14ac:dyDescent="0.35">
      <c r="A83" s="20"/>
      <c r="B83" s="20"/>
      <c r="C83" s="20"/>
      <c r="D83" s="7"/>
    </row>
    <row r="84" spans="1:4" ht="35.25" customHeight="1" x14ac:dyDescent="0.35">
      <c r="A84" s="235" t="s">
        <v>63</v>
      </c>
      <c r="B84" s="235"/>
      <c r="C84" s="30">
        <f>ROUND(1-(SUM(C87:C89)/1),5)</f>
        <v>0.91349999999999998</v>
      </c>
      <c r="D84" s="29">
        <f>ROUND(D82/C84,2)</f>
        <v>6131.65</v>
      </c>
    </row>
    <row r="85" spans="1:4" x14ac:dyDescent="0.35">
      <c r="A85" s="3"/>
      <c r="B85" s="3"/>
      <c r="C85" s="3"/>
      <c r="D85" s="3"/>
    </row>
    <row r="86" spans="1:4" x14ac:dyDescent="0.35">
      <c r="A86" s="207" t="s">
        <v>53</v>
      </c>
      <c r="B86" s="208"/>
      <c r="C86" s="90" t="s">
        <v>6</v>
      </c>
      <c r="D86" s="90" t="s">
        <v>7</v>
      </c>
    </row>
    <row r="87" spans="1:4" ht="22" customHeight="1" x14ac:dyDescent="0.35">
      <c r="A87" s="176" t="s">
        <v>54</v>
      </c>
      <c r="B87" s="178"/>
      <c r="C87" s="13">
        <v>0.05</v>
      </c>
      <c r="D87" s="5">
        <f>ROUND($D$84*C87,2)</f>
        <v>306.58</v>
      </c>
    </row>
    <row r="88" spans="1:4" ht="22" customHeight="1" x14ac:dyDescent="0.35">
      <c r="A88" s="196" t="s">
        <v>55</v>
      </c>
      <c r="B88" s="197"/>
      <c r="C88" s="41">
        <v>0.03</v>
      </c>
      <c r="D88" s="42">
        <f>ROUND($D$84*C88,2)</f>
        <v>183.95</v>
      </c>
    </row>
    <row r="89" spans="1:4" ht="22" customHeight="1" x14ac:dyDescent="0.35">
      <c r="A89" s="176" t="s">
        <v>56</v>
      </c>
      <c r="B89" s="178"/>
      <c r="C89" s="13">
        <v>6.4999999999999997E-3</v>
      </c>
      <c r="D89" s="5">
        <f>ROUND($D$84*C89,2)</f>
        <v>39.86</v>
      </c>
    </row>
    <row r="90" spans="1:4" x14ac:dyDescent="0.35">
      <c r="A90" s="198" t="s">
        <v>57</v>
      </c>
      <c r="B90" s="199"/>
      <c r="C90" s="30">
        <f>ROUND(SUM(C87:C89),5)</f>
        <v>8.6499999999999994E-2</v>
      </c>
      <c r="D90" s="29">
        <f>ROUND(SUM(D87:D89),2)</f>
        <v>530.39</v>
      </c>
    </row>
    <row r="91" spans="1:4" ht="10" customHeight="1" x14ac:dyDescent="0.35">
      <c r="A91" s="3"/>
      <c r="B91" s="3"/>
      <c r="C91" s="3"/>
      <c r="D91" s="3"/>
    </row>
    <row r="92" spans="1:4" ht="25" customHeight="1" x14ac:dyDescent="0.35">
      <c r="A92" s="198" t="s">
        <v>58</v>
      </c>
      <c r="B92" s="200"/>
      <c r="C92" s="199"/>
      <c r="D92" s="29">
        <f>ROUND(D82+D90,2)</f>
        <v>6131.65</v>
      </c>
    </row>
    <row r="93" spans="1:4" ht="25" customHeight="1" x14ac:dyDescent="0.35">
      <c r="A93" s="198" t="s">
        <v>64</v>
      </c>
      <c r="B93" s="200"/>
      <c r="C93" s="199"/>
      <c r="D93" s="29">
        <f>ROUND(D92*12,2)</f>
        <v>73579.8</v>
      </c>
    </row>
    <row r="94" spans="1:4" ht="10" customHeight="1" x14ac:dyDescent="0.35">
      <c r="A94" s="20"/>
      <c r="B94" s="20"/>
      <c r="C94" s="20"/>
      <c r="D94" s="7"/>
    </row>
    <row r="95" spans="1:4" ht="15" customHeight="1" x14ac:dyDescent="0.35">
      <c r="A95" s="202" t="s">
        <v>59</v>
      </c>
      <c r="B95" s="202"/>
      <c r="C95" s="202"/>
      <c r="D95" s="27" t="s">
        <v>6</v>
      </c>
    </row>
    <row r="96" spans="1:4" ht="15" customHeight="1" x14ac:dyDescent="0.35">
      <c r="A96" s="201" t="s">
        <v>74</v>
      </c>
      <c r="B96" s="201"/>
      <c r="C96" s="201"/>
      <c r="D96" s="17">
        <f>C25</f>
        <v>0.378</v>
      </c>
    </row>
    <row r="97" spans="1:4" ht="15" customHeight="1" x14ac:dyDescent="0.35">
      <c r="A97" s="203" t="s">
        <v>29</v>
      </c>
      <c r="B97" s="203"/>
      <c r="C97" s="203"/>
      <c r="D97" s="43">
        <f>C37</f>
        <v>0.23483000000000001</v>
      </c>
    </row>
    <row r="98" spans="1:4" ht="15" customHeight="1" x14ac:dyDescent="0.35">
      <c r="A98" s="201" t="s">
        <v>34</v>
      </c>
      <c r="B98" s="201"/>
      <c r="C98" s="201"/>
      <c r="D98" s="17">
        <f>C43</f>
        <v>3.7839999999999999E-2</v>
      </c>
    </row>
    <row r="99" spans="1:4" ht="15" customHeight="1" x14ac:dyDescent="0.35">
      <c r="A99" s="203" t="s">
        <v>37</v>
      </c>
      <c r="B99" s="203"/>
      <c r="C99" s="203"/>
      <c r="D99" s="43">
        <f>C47</f>
        <v>8.8770000000000002E-2</v>
      </c>
    </row>
    <row r="100" spans="1:4" ht="15" customHeight="1" x14ac:dyDescent="0.35">
      <c r="A100" s="201" t="s">
        <v>40</v>
      </c>
      <c r="B100" s="201"/>
      <c r="C100" s="201"/>
      <c r="D100" s="17">
        <f>C51</f>
        <v>3.3E-4</v>
      </c>
    </row>
    <row r="101" spans="1:4" ht="15" customHeight="1" x14ac:dyDescent="0.35">
      <c r="A101" s="203" t="s">
        <v>43</v>
      </c>
      <c r="B101" s="203"/>
      <c r="C101" s="203"/>
      <c r="D101" s="43">
        <f>C55</f>
        <v>2.7299999999999998E-3</v>
      </c>
    </row>
    <row r="102" spans="1:4" ht="15" customHeight="1" x14ac:dyDescent="0.35">
      <c r="A102" s="236" t="s">
        <v>75</v>
      </c>
      <c r="B102" s="236"/>
      <c r="C102" s="236"/>
      <c r="D102" s="28">
        <f>ROUND(SUM(D96:D101),5)</f>
        <v>0.74250000000000005</v>
      </c>
    </row>
    <row r="103" spans="1:4" ht="10" customHeight="1" x14ac:dyDescent="0.35"/>
    <row r="104" spans="1:4" x14ac:dyDescent="0.35">
      <c r="A104" s="207" t="s">
        <v>268</v>
      </c>
      <c r="B104" s="208"/>
      <c r="C104" s="90" t="s">
        <v>269</v>
      </c>
      <c r="D104" s="27" t="s">
        <v>6</v>
      </c>
    </row>
    <row r="105" spans="1:4" x14ac:dyDescent="0.35">
      <c r="A105" s="212" t="s">
        <v>270</v>
      </c>
      <c r="B105" s="213"/>
      <c r="C105" s="110">
        <f>D13</f>
        <v>2489.83</v>
      </c>
      <c r="D105" s="17">
        <f>ROUND(C105/$C$109,5)</f>
        <v>0.40605999999999998</v>
      </c>
    </row>
    <row r="106" spans="1:4" ht="24.5" customHeight="1" x14ac:dyDescent="0.35">
      <c r="A106" s="229" t="s">
        <v>271</v>
      </c>
      <c r="B106" s="230"/>
      <c r="C106" s="111">
        <f>D56</f>
        <v>1848.7</v>
      </c>
      <c r="D106" s="43">
        <f>ROUND(C106/$C$109,5)</f>
        <v>0.30149999999999999</v>
      </c>
    </row>
    <row r="107" spans="1:4" x14ac:dyDescent="0.35">
      <c r="A107" s="212" t="s">
        <v>272</v>
      </c>
      <c r="B107" s="213"/>
      <c r="C107" s="110">
        <f>D72</f>
        <v>532.13</v>
      </c>
      <c r="D107" s="17">
        <f>ROUND(C107/$C$109,5)</f>
        <v>8.6779999999999996E-2</v>
      </c>
    </row>
    <row r="108" spans="1:4" x14ac:dyDescent="0.35">
      <c r="A108" s="229" t="s">
        <v>273</v>
      </c>
      <c r="B108" s="230"/>
      <c r="C108" s="111">
        <f>ROUND(D80+D90,2)</f>
        <v>1260.99</v>
      </c>
      <c r="D108" s="43">
        <f>ROUND(C108/$C$109,5)</f>
        <v>0.20565</v>
      </c>
    </row>
    <row r="109" spans="1:4" x14ac:dyDescent="0.35">
      <c r="A109" s="231" t="s">
        <v>274</v>
      </c>
      <c r="B109" s="232"/>
      <c r="C109" s="112">
        <f>ROUND(SUM(C105:C108),2)</f>
        <v>6131.65</v>
      </c>
      <c r="D109" s="30">
        <f>ROUND(SUM(D105:D108),5)</f>
        <v>0.99999000000000005</v>
      </c>
    </row>
  </sheetData>
  <mergeCells count="92">
    <mergeCell ref="A104:B104"/>
    <mergeCell ref="A98:C98"/>
    <mergeCell ref="A99:C99"/>
    <mergeCell ref="A100:C100"/>
    <mergeCell ref="A101:C101"/>
    <mergeCell ref="A102:C102"/>
    <mergeCell ref="A105:B105"/>
    <mergeCell ref="A106:B106"/>
    <mergeCell ref="A107:B107"/>
    <mergeCell ref="A108:B108"/>
    <mergeCell ref="A109:B109"/>
    <mergeCell ref="A97:C97"/>
    <mergeCell ref="A80:B80"/>
    <mergeCell ref="A82:C82"/>
    <mergeCell ref="A84:B84"/>
    <mergeCell ref="A86:B86"/>
    <mergeCell ref="A90:B90"/>
    <mergeCell ref="A92:C92"/>
    <mergeCell ref="A93:C93"/>
    <mergeCell ref="A95:C95"/>
    <mergeCell ref="A96:C96"/>
    <mergeCell ref="A87:B87"/>
    <mergeCell ref="A88:B88"/>
    <mergeCell ref="A89:B89"/>
    <mergeCell ref="A74:C74"/>
    <mergeCell ref="A76:D76"/>
    <mergeCell ref="A77:B77"/>
    <mergeCell ref="A78:B78"/>
    <mergeCell ref="A79:B79"/>
    <mergeCell ref="A68:B68"/>
    <mergeCell ref="A69:B69"/>
    <mergeCell ref="A70:B70"/>
    <mergeCell ref="A71:B71"/>
    <mergeCell ref="A72:C72"/>
    <mergeCell ref="A58:C58"/>
    <mergeCell ref="A46:B46"/>
    <mergeCell ref="A47:B47"/>
    <mergeCell ref="A49:B49"/>
    <mergeCell ref="A67:B67"/>
    <mergeCell ref="A60:D60"/>
    <mergeCell ref="A61:B61"/>
    <mergeCell ref="A62:B62"/>
    <mergeCell ref="A63:B63"/>
    <mergeCell ref="A64:B64"/>
    <mergeCell ref="A65:B65"/>
    <mergeCell ref="A66:B66"/>
    <mergeCell ref="A51:B51"/>
    <mergeCell ref="A53:B53"/>
    <mergeCell ref="A54:B54"/>
    <mergeCell ref="A55:B55"/>
    <mergeCell ref="A56:B56"/>
    <mergeCell ref="A31:B31"/>
    <mergeCell ref="A32:B32"/>
    <mergeCell ref="A33:B33"/>
    <mergeCell ref="A50:B50"/>
    <mergeCell ref="A40:B40"/>
    <mergeCell ref="A41:B41"/>
    <mergeCell ref="A42:B42"/>
    <mergeCell ref="A43:B43"/>
    <mergeCell ref="A45:B45"/>
    <mergeCell ref="A34:B34"/>
    <mergeCell ref="A35:B35"/>
    <mergeCell ref="A36:B36"/>
    <mergeCell ref="A37:B37"/>
    <mergeCell ref="A39:B39"/>
    <mergeCell ref="A25:B25"/>
    <mergeCell ref="A27:B27"/>
    <mergeCell ref="A28:B28"/>
    <mergeCell ref="A29:B29"/>
    <mergeCell ref="A30:B30"/>
    <mergeCell ref="A23:B23"/>
    <mergeCell ref="A24:B24"/>
    <mergeCell ref="A13:C13"/>
    <mergeCell ref="A15:D15"/>
    <mergeCell ref="A16:B16"/>
    <mergeCell ref="A17:B17"/>
    <mergeCell ref="A18:B18"/>
    <mergeCell ref="B6:D6"/>
    <mergeCell ref="A19:B19"/>
    <mergeCell ref="A20:B20"/>
    <mergeCell ref="A21:B21"/>
    <mergeCell ref="A22:B22"/>
    <mergeCell ref="A8:D8"/>
    <mergeCell ref="A9:D9"/>
    <mergeCell ref="A10:B10"/>
    <mergeCell ref="A11:B11"/>
    <mergeCell ref="A12:B12"/>
    <mergeCell ref="A1:D1"/>
    <mergeCell ref="B2:D2"/>
    <mergeCell ref="B3:D3"/>
    <mergeCell ref="B4:D4"/>
    <mergeCell ref="B5:D5"/>
  </mergeCells>
  <pageMargins left="0.23622047244094491" right="0.23622047244094491" top="1.3385826771653544" bottom="0.74803149606299213" header="0.9055118110236221" footer="0.31496062992125984"/>
  <pageSetup fitToHeight="0" orientation="landscape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08322-A80D-4B84-83D0-56F11B36DC7B}">
  <sheetPr codeName="Planilha13">
    <pageSetUpPr fitToPage="1"/>
  </sheetPr>
  <dimension ref="A1:D109"/>
  <sheetViews>
    <sheetView view="pageBreakPreview" zoomScaleNormal="100" zoomScaleSheetLayoutView="100" workbookViewId="0">
      <selection activeCell="E5" sqref="E5"/>
    </sheetView>
  </sheetViews>
  <sheetFormatPr defaultRowHeight="14.5" x14ac:dyDescent="0.35"/>
  <cols>
    <col min="1" max="1" width="33.453125" customWidth="1"/>
    <col min="2" max="2" width="14.54296875" customWidth="1"/>
    <col min="3" max="3" width="10.81640625" customWidth="1"/>
    <col min="4" max="4" width="12.26953125" customWidth="1"/>
  </cols>
  <sheetData>
    <row r="1" spans="1:4" ht="23" customHeight="1" x14ac:dyDescent="0.35">
      <c r="A1" s="218" t="s">
        <v>0</v>
      </c>
      <c r="B1" s="218"/>
      <c r="C1" s="218"/>
      <c r="D1" s="218"/>
    </row>
    <row r="2" spans="1:4" ht="30.5" customHeight="1" x14ac:dyDescent="0.35">
      <c r="A2" s="23" t="s">
        <v>2</v>
      </c>
      <c r="B2" s="214" t="str">
        <f>'Quantidade de Cargo'!A11</f>
        <v>Assistente Financeiro I</v>
      </c>
      <c r="C2" s="215"/>
      <c r="D2" s="216"/>
    </row>
    <row r="3" spans="1:4" ht="15" customHeight="1" x14ac:dyDescent="0.35">
      <c r="A3" s="23" t="s">
        <v>61</v>
      </c>
      <c r="B3" s="219" t="str">
        <f>'Salario Base'!B14</f>
        <v>4110-10</v>
      </c>
      <c r="C3" s="220"/>
      <c r="D3" s="221"/>
    </row>
    <row r="4" spans="1:4" ht="15" customHeight="1" x14ac:dyDescent="0.35">
      <c r="A4" s="24" t="s">
        <v>1</v>
      </c>
      <c r="B4" s="214" t="s">
        <v>143</v>
      </c>
      <c r="C4" s="215"/>
      <c r="D4" s="216"/>
    </row>
    <row r="5" spans="1:4" ht="26" x14ac:dyDescent="0.35">
      <c r="A5" s="24" t="s">
        <v>3</v>
      </c>
      <c r="B5" s="222">
        <v>1</v>
      </c>
      <c r="C5" s="220"/>
      <c r="D5" s="221"/>
    </row>
    <row r="6" spans="1:4" ht="65.5" customHeight="1" x14ac:dyDescent="0.35">
      <c r="A6" s="24" t="s">
        <v>62</v>
      </c>
      <c r="B6" s="214" t="s">
        <v>217</v>
      </c>
      <c r="C6" s="215"/>
      <c r="D6" s="216"/>
    </row>
    <row r="7" spans="1:4" ht="15" customHeight="1" x14ac:dyDescent="0.35">
      <c r="A7" s="2"/>
      <c r="B7" s="16"/>
      <c r="C7" s="3"/>
      <c r="D7" s="3"/>
    </row>
    <row r="8" spans="1:4" x14ac:dyDescent="0.35">
      <c r="A8" s="223" t="s">
        <v>4</v>
      </c>
      <c r="B8" s="223"/>
      <c r="C8" s="223"/>
      <c r="D8" s="223"/>
    </row>
    <row r="9" spans="1:4" x14ac:dyDescent="0.35">
      <c r="A9" s="224" t="s">
        <v>70</v>
      </c>
      <c r="B9" s="225"/>
      <c r="C9" s="225"/>
      <c r="D9" s="226"/>
    </row>
    <row r="10" spans="1:4" x14ac:dyDescent="0.35">
      <c r="A10" s="227" t="s">
        <v>5</v>
      </c>
      <c r="B10" s="228"/>
      <c r="C10" s="90" t="s">
        <v>6</v>
      </c>
      <c r="D10" s="90" t="s">
        <v>7</v>
      </c>
    </row>
    <row r="11" spans="1:4" ht="40.5" customHeight="1" x14ac:dyDescent="0.35">
      <c r="A11" s="176" t="s">
        <v>8</v>
      </c>
      <c r="B11" s="178"/>
      <c r="C11" s="91" t="s">
        <v>60</v>
      </c>
      <c r="D11" s="4">
        <f>'Salario Base'!D14</f>
        <v>1560.18</v>
      </c>
    </row>
    <row r="12" spans="1:4" ht="15" customHeight="1" x14ac:dyDescent="0.35">
      <c r="A12" s="229" t="s">
        <v>66</v>
      </c>
      <c r="B12" s="230"/>
      <c r="C12" s="53"/>
      <c r="D12" s="42">
        <f>C12*D11/100</f>
        <v>0</v>
      </c>
    </row>
    <row r="13" spans="1:4" x14ac:dyDescent="0.35">
      <c r="A13" s="217" t="s">
        <v>20</v>
      </c>
      <c r="B13" s="217"/>
      <c r="C13" s="217"/>
      <c r="D13" s="29">
        <f>ROUND(SUM(D11:D12),2)</f>
        <v>1560.18</v>
      </c>
    </row>
    <row r="14" spans="1:4" x14ac:dyDescent="0.35">
      <c r="A14" s="3"/>
      <c r="B14" s="3"/>
      <c r="C14" s="3"/>
      <c r="D14" s="3"/>
    </row>
    <row r="15" spans="1:4" x14ac:dyDescent="0.35">
      <c r="A15" s="202" t="s">
        <v>71</v>
      </c>
      <c r="B15" s="202"/>
      <c r="C15" s="202"/>
      <c r="D15" s="202"/>
    </row>
    <row r="16" spans="1:4" x14ac:dyDescent="0.35">
      <c r="A16" s="202" t="s">
        <v>10</v>
      </c>
      <c r="B16" s="202"/>
      <c r="C16" s="90" t="s">
        <v>6</v>
      </c>
      <c r="D16" s="90" t="s">
        <v>7</v>
      </c>
    </row>
    <row r="17" spans="1:4" x14ac:dyDescent="0.35">
      <c r="A17" s="176" t="s">
        <v>11</v>
      </c>
      <c r="B17" s="178"/>
      <c r="C17" s="11">
        <v>0.2</v>
      </c>
      <c r="D17" s="5">
        <f>ROUND($D$13*C17,2)</f>
        <v>312.04000000000002</v>
      </c>
    </row>
    <row r="18" spans="1:4" x14ac:dyDescent="0.35">
      <c r="A18" s="196" t="s">
        <v>12</v>
      </c>
      <c r="B18" s="197"/>
      <c r="C18" s="52">
        <v>0.08</v>
      </c>
      <c r="D18" s="42">
        <f t="shared" ref="D18:D24" si="0">ROUND($D$13*C18,2)</f>
        <v>124.81</v>
      </c>
    </row>
    <row r="19" spans="1:4" x14ac:dyDescent="0.35">
      <c r="A19" s="176" t="s">
        <v>13</v>
      </c>
      <c r="B19" s="178"/>
      <c r="C19" s="11">
        <v>1.4999999999999999E-2</v>
      </c>
      <c r="D19" s="5">
        <f t="shared" si="0"/>
        <v>23.4</v>
      </c>
    </row>
    <row r="20" spans="1:4" ht="25.5" customHeight="1" x14ac:dyDescent="0.35">
      <c r="A20" s="196" t="s">
        <v>14</v>
      </c>
      <c r="B20" s="197"/>
      <c r="C20" s="52">
        <v>0.01</v>
      </c>
      <c r="D20" s="42">
        <f t="shared" si="0"/>
        <v>15.6</v>
      </c>
    </row>
    <row r="21" spans="1:4" ht="28.5" customHeight="1" x14ac:dyDescent="0.35">
      <c r="A21" s="176" t="s">
        <v>15</v>
      </c>
      <c r="B21" s="178"/>
      <c r="C21" s="11">
        <v>2E-3</v>
      </c>
      <c r="D21" s="5">
        <f t="shared" si="0"/>
        <v>3.12</v>
      </c>
    </row>
    <row r="22" spans="1:4" x14ac:dyDescent="0.35">
      <c r="A22" s="196" t="s">
        <v>16</v>
      </c>
      <c r="B22" s="197"/>
      <c r="C22" s="52">
        <v>6.0000000000000001E-3</v>
      </c>
      <c r="D22" s="42">
        <f t="shared" si="0"/>
        <v>9.36</v>
      </c>
    </row>
    <row r="23" spans="1:4" x14ac:dyDescent="0.35">
      <c r="A23" s="212" t="s">
        <v>17</v>
      </c>
      <c r="B23" s="213"/>
      <c r="C23" s="11">
        <v>2.5000000000000001E-2</v>
      </c>
      <c r="D23" s="5">
        <f t="shared" si="0"/>
        <v>39</v>
      </c>
    </row>
    <row r="24" spans="1:4" ht="39.75" customHeight="1" x14ac:dyDescent="0.35">
      <c r="A24" s="229" t="s">
        <v>18</v>
      </c>
      <c r="B24" s="230"/>
      <c r="C24" s="50">
        <v>0.04</v>
      </c>
      <c r="D24" s="42">
        <f t="shared" si="0"/>
        <v>62.41</v>
      </c>
    </row>
    <row r="25" spans="1:4" x14ac:dyDescent="0.35">
      <c r="A25" s="198" t="s">
        <v>19</v>
      </c>
      <c r="B25" s="199"/>
      <c r="C25" s="30">
        <f>ROUND(SUM(C17:C24),5)</f>
        <v>0.378</v>
      </c>
      <c r="D25" s="29">
        <f>ROUND(SUM(D17:D24),2)</f>
        <v>589.74</v>
      </c>
    </row>
    <row r="26" spans="1:4" x14ac:dyDescent="0.35">
      <c r="A26" s="20"/>
      <c r="B26" s="20"/>
      <c r="C26" s="6"/>
      <c r="D26" s="7"/>
    </row>
    <row r="27" spans="1:4" x14ac:dyDescent="0.35">
      <c r="A27" s="202" t="s">
        <v>21</v>
      </c>
      <c r="B27" s="202"/>
      <c r="C27" s="90" t="s">
        <v>6</v>
      </c>
      <c r="D27" s="90" t="s">
        <v>7</v>
      </c>
    </row>
    <row r="28" spans="1:4" ht="25" customHeight="1" x14ac:dyDescent="0.35">
      <c r="A28" s="212" t="s">
        <v>22</v>
      </c>
      <c r="B28" s="213"/>
      <c r="C28" s="9">
        <f>ROUND(1/12,5)</f>
        <v>8.3330000000000001E-2</v>
      </c>
      <c r="D28" s="5">
        <f>ROUND($D$13*C28,2)</f>
        <v>130.01</v>
      </c>
    </row>
    <row r="29" spans="1:4" ht="25" customHeight="1" x14ac:dyDescent="0.35">
      <c r="A29" s="196" t="s">
        <v>263</v>
      </c>
      <c r="B29" s="197"/>
      <c r="C29" s="51">
        <f>ROUND((1/3)/12,5)</f>
        <v>2.7779999999999999E-2</v>
      </c>
      <c r="D29" s="42">
        <f t="shared" ref="D29:D36" si="1">ROUND($D$13*C29,2)</f>
        <v>43.34</v>
      </c>
    </row>
    <row r="30" spans="1:4" ht="25" customHeight="1" x14ac:dyDescent="0.35">
      <c r="A30" s="176" t="s">
        <v>23</v>
      </c>
      <c r="B30" s="178"/>
      <c r="C30" s="10">
        <f>ROUND((((100% / 30) * 7) / 12),5)</f>
        <v>1.9439999999999999E-2</v>
      </c>
      <c r="D30" s="5">
        <f t="shared" si="1"/>
        <v>30.33</v>
      </c>
    </row>
    <row r="31" spans="1:4" ht="25" customHeight="1" x14ac:dyDescent="0.35">
      <c r="A31" s="196" t="s">
        <v>24</v>
      </c>
      <c r="B31" s="197"/>
      <c r="C31" s="51">
        <f>ROUND((5/30)/12,5)</f>
        <v>1.389E-2</v>
      </c>
      <c r="D31" s="42">
        <f t="shared" si="1"/>
        <v>21.67</v>
      </c>
    </row>
    <row r="32" spans="1:4" ht="25" customHeight="1" x14ac:dyDescent="0.35">
      <c r="A32" s="176" t="s">
        <v>25</v>
      </c>
      <c r="B32" s="178"/>
      <c r="C32" s="10">
        <f>ROUND(((15/30/12)*0.08),5)</f>
        <v>3.3300000000000001E-3</v>
      </c>
      <c r="D32" s="5">
        <f t="shared" si="1"/>
        <v>5.2</v>
      </c>
    </row>
    <row r="33" spans="1:4" ht="25" customHeight="1" x14ac:dyDescent="0.35">
      <c r="A33" s="196" t="s">
        <v>26</v>
      </c>
      <c r="B33" s="197"/>
      <c r="C33" s="51">
        <f>ROUND((1/30)/12,5)</f>
        <v>2.7799999999999999E-3</v>
      </c>
      <c r="D33" s="42">
        <f t="shared" si="1"/>
        <v>4.34</v>
      </c>
    </row>
    <row r="34" spans="1:4" ht="25" customHeight="1" x14ac:dyDescent="0.35">
      <c r="A34" s="176" t="s">
        <v>27</v>
      </c>
      <c r="B34" s="178"/>
      <c r="C34" s="10">
        <f>ROUND(0.1111*0.02*0.333,5)</f>
        <v>7.3999999999999999E-4</v>
      </c>
      <c r="D34" s="5">
        <f t="shared" si="1"/>
        <v>1.1499999999999999</v>
      </c>
    </row>
    <row r="35" spans="1:4" ht="25" customHeight="1" x14ac:dyDescent="0.35">
      <c r="A35" s="196" t="s">
        <v>28</v>
      </c>
      <c r="B35" s="197"/>
      <c r="C35" s="51">
        <f>ROUND(((5/30)/12)*0.015,5)</f>
        <v>2.1000000000000001E-4</v>
      </c>
      <c r="D35" s="42">
        <f t="shared" si="1"/>
        <v>0.33</v>
      </c>
    </row>
    <row r="36" spans="1:4" ht="25" customHeight="1" x14ac:dyDescent="0.35">
      <c r="A36" s="176" t="s">
        <v>264</v>
      </c>
      <c r="B36" s="178"/>
      <c r="C36" s="10">
        <f>ROUND(1/12,5)</f>
        <v>8.3330000000000001E-2</v>
      </c>
      <c r="D36" s="5">
        <f t="shared" si="1"/>
        <v>130.01</v>
      </c>
    </row>
    <row r="37" spans="1:4" x14ac:dyDescent="0.35">
      <c r="A37" s="198" t="s">
        <v>29</v>
      </c>
      <c r="B37" s="199"/>
      <c r="C37" s="30">
        <f>ROUND(SUM(C28:C36),5)</f>
        <v>0.23483000000000001</v>
      </c>
      <c r="D37" s="29">
        <f>ROUND(SUM(D28:D36),2)</f>
        <v>366.38</v>
      </c>
    </row>
    <row r="38" spans="1:4" x14ac:dyDescent="0.35">
      <c r="A38" s="20"/>
      <c r="B38" s="20"/>
      <c r="C38" s="8"/>
      <c r="D38" s="7"/>
    </row>
    <row r="39" spans="1:4" x14ac:dyDescent="0.35">
      <c r="A39" s="207" t="s">
        <v>30</v>
      </c>
      <c r="B39" s="208"/>
      <c r="C39" s="90" t="s">
        <v>6</v>
      </c>
      <c r="D39" s="90" t="s">
        <v>7</v>
      </c>
    </row>
    <row r="40" spans="1:4" ht="25" customHeight="1" x14ac:dyDescent="0.35">
      <c r="A40" s="210" t="s">
        <v>31</v>
      </c>
      <c r="B40" s="211"/>
      <c r="C40" s="12">
        <f>ROUND(1/12*5%,5)</f>
        <v>4.1700000000000001E-3</v>
      </c>
      <c r="D40" s="54">
        <f>ROUND($D$13*C40,2)</f>
        <v>6.51</v>
      </c>
    </row>
    <row r="41" spans="1:4" ht="25" customHeight="1" x14ac:dyDescent="0.35">
      <c r="A41" s="196" t="s">
        <v>32</v>
      </c>
      <c r="B41" s="197"/>
      <c r="C41" s="50">
        <f>ROUND(0.02*(1/12),5)</f>
        <v>1.67E-3</v>
      </c>
      <c r="D41" s="42">
        <f>ROUND($D$13*C41,2)</f>
        <v>2.61</v>
      </c>
    </row>
    <row r="42" spans="1:4" ht="25" customHeight="1" x14ac:dyDescent="0.35">
      <c r="A42" s="210" t="s">
        <v>33</v>
      </c>
      <c r="B42" s="211"/>
      <c r="C42" s="15">
        <f>ROUND(40%*8%,5)</f>
        <v>3.2000000000000001E-2</v>
      </c>
      <c r="D42" s="54">
        <f>ROUND($D$13*C42,2)</f>
        <v>49.93</v>
      </c>
    </row>
    <row r="43" spans="1:4" x14ac:dyDescent="0.35">
      <c r="A43" s="198" t="s">
        <v>34</v>
      </c>
      <c r="B43" s="199"/>
      <c r="C43" s="30">
        <f>ROUND(SUM(C40:C42),5)</f>
        <v>3.7839999999999999E-2</v>
      </c>
      <c r="D43" s="29">
        <f>ROUND(SUM(D40:D42),2)</f>
        <v>59.05</v>
      </c>
    </row>
    <row r="44" spans="1:4" x14ac:dyDescent="0.35">
      <c r="A44" s="20"/>
      <c r="B44" s="20"/>
      <c r="C44" s="8"/>
      <c r="D44" s="7"/>
    </row>
    <row r="45" spans="1:4" x14ac:dyDescent="0.35">
      <c r="A45" s="207" t="s">
        <v>35</v>
      </c>
      <c r="B45" s="208"/>
      <c r="C45" s="90" t="s">
        <v>6</v>
      </c>
      <c r="D45" s="90" t="s">
        <v>7</v>
      </c>
    </row>
    <row r="46" spans="1:4" ht="29" customHeight="1" x14ac:dyDescent="0.35">
      <c r="A46" s="176" t="s">
        <v>36</v>
      </c>
      <c r="B46" s="178"/>
      <c r="C46" s="14">
        <f>ROUND(C25*C37,5)</f>
        <v>8.8770000000000002E-2</v>
      </c>
      <c r="D46" s="5">
        <f>ROUND($D$13*C46,2)</f>
        <v>138.5</v>
      </c>
    </row>
    <row r="47" spans="1:4" x14ac:dyDescent="0.35">
      <c r="A47" s="198" t="s">
        <v>37</v>
      </c>
      <c r="B47" s="199"/>
      <c r="C47" s="30">
        <f>ROUND(SUM(C46),5)</f>
        <v>8.8770000000000002E-2</v>
      </c>
      <c r="D47" s="29">
        <f>ROUND(SUM(D46),2)</f>
        <v>138.5</v>
      </c>
    </row>
    <row r="48" spans="1:4" x14ac:dyDescent="0.35">
      <c r="A48" s="20"/>
      <c r="B48" s="20"/>
      <c r="C48" s="8"/>
      <c r="D48" s="7"/>
    </row>
    <row r="49" spans="1:4" x14ac:dyDescent="0.35">
      <c r="A49" s="207" t="s">
        <v>38</v>
      </c>
      <c r="B49" s="208"/>
      <c r="C49" s="90" t="s">
        <v>6</v>
      </c>
      <c r="D49" s="90" t="s">
        <v>7</v>
      </c>
    </row>
    <row r="50" spans="1:4" ht="65.5" customHeight="1" x14ac:dyDescent="0.35">
      <c r="A50" s="176" t="s">
        <v>39</v>
      </c>
      <c r="B50" s="178"/>
      <c r="C50" s="15">
        <f>ROUND(8%*C40,5)</f>
        <v>3.3E-4</v>
      </c>
      <c r="D50" s="5">
        <f>ROUND($D$13*C50,2)</f>
        <v>0.51</v>
      </c>
    </row>
    <row r="51" spans="1:4" x14ac:dyDescent="0.35">
      <c r="A51" s="198" t="s">
        <v>40</v>
      </c>
      <c r="B51" s="199"/>
      <c r="C51" s="30">
        <f>ROUND(SUM(C50:C50),5)</f>
        <v>3.3E-4</v>
      </c>
      <c r="D51" s="29">
        <f>ROUND(SUM(D50:D50),2)</f>
        <v>0.51</v>
      </c>
    </row>
    <row r="52" spans="1:4" x14ac:dyDescent="0.35">
      <c r="A52" s="20"/>
      <c r="B52" s="20"/>
      <c r="C52" s="8"/>
      <c r="D52" s="7"/>
    </row>
    <row r="53" spans="1:4" x14ac:dyDescent="0.35">
      <c r="A53" s="207" t="s">
        <v>41</v>
      </c>
      <c r="B53" s="208"/>
      <c r="C53" s="90" t="s">
        <v>6</v>
      </c>
      <c r="D53" s="90" t="s">
        <v>7</v>
      </c>
    </row>
    <row r="54" spans="1:4" ht="114" customHeight="1" x14ac:dyDescent="0.35">
      <c r="A54" s="176" t="s">
        <v>42</v>
      </c>
      <c r="B54" s="178"/>
      <c r="C54" s="14">
        <f>ROUND(C25*(13/12)*(4/12)*2/100,5)</f>
        <v>2.7299999999999998E-3</v>
      </c>
      <c r="D54" s="5">
        <f>ROUND($D$13*C54,2)</f>
        <v>4.26</v>
      </c>
    </row>
    <row r="55" spans="1:4" x14ac:dyDescent="0.35">
      <c r="A55" s="198" t="s">
        <v>43</v>
      </c>
      <c r="B55" s="199"/>
      <c r="C55" s="30">
        <f>ROUND(SUM(C54),5)</f>
        <v>2.7299999999999998E-3</v>
      </c>
      <c r="D55" s="29">
        <f>ROUND(SUM(D54),2)</f>
        <v>4.26</v>
      </c>
    </row>
    <row r="56" spans="1:4" x14ac:dyDescent="0.35">
      <c r="A56" s="198" t="s">
        <v>44</v>
      </c>
      <c r="B56" s="199"/>
      <c r="C56" s="30">
        <f>ROUND(C25+C37+C43+C47+C51+C55,5)</f>
        <v>0.74250000000000005</v>
      </c>
      <c r="D56" s="29">
        <f>ROUND(D25+D37+D43+D47+D51+D55,2)</f>
        <v>1158.44</v>
      </c>
    </row>
    <row r="57" spans="1:4" ht="15" customHeight="1" x14ac:dyDescent="0.35">
      <c r="A57" s="20"/>
      <c r="B57" s="20"/>
      <c r="C57" s="8"/>
      <c r="D57" s="7"/>
    </row>
    <row r="58" spans="1:4" ht="15" customHeight="1" x14ac:dyDescent="0.35">
      <c r="A58" s="198" t="s">
        <v>45</v>
      </c>
      <c r="B58" s="200"/>
      <c r="C58" s="199"/>
      <c r="D58" s="29">
        <f>D13+D56</f>
        <v>2718.62</v>
      </c>
    </row>
    <row r="59" spans="1:4" ht="15" customHeight="1" x14ac:dyDescent="0.35">
      <c r="A59" s="3"/>
      <c r="B59" s="3"/>
      <c r="C59" s="3"/>
      <c r="D59" s="3"/>
    </row>
    <row r="60" spans="1:4" ht="15" customHeight="1" x14ac:dyDescent="0.35">
      <c r="A60" s="202" t="s">
        <v>72</v>
      </c>
      <c r="B60" s="202"/>
      <c r="C60" s="202"/>
      <c r="D60" s="202"/>
    </row>
    <row r="61" spans="1:4" x14ac:dyDescent="0.35">
      <c r="A61" s="202" t="s">
        <v>46</v>
      </c>
      <c r="B61" s="202"/>
      <c r="C61" s="90" t="s">
        <v>218</v>
      </c>
      <c r="D61" s="92" t="s">
        <v>7</v>
      </c>
    </row>
    <row r="62" spans="1:4" ht="96" customHeight="1" x14ac:dyDescent="0.35">
      <c r="A62" s="206" t="s">
        <v>91</v>
      </c>
      <c r="B62" s="206"/>
      <c r="C62" s="33">
        <v>15</v>
      </c>
      <c r="D62" s="33">
        <f>ROUND(C62*22,2)</f>
        <v>330</v>
      </c>
    </row>
    <row r="63" spans="1:4" ht="53.5" customHeight="1" x14ac:dyDescent="0.35">
      <c r="A63" s="209" t="s">
        <v>92</v>
      </c>
      <c r="B63" s="209"/>
      <c r="C63" s="101">
        <v>0.1</v>
      </c>
      <c r="D63" s="49">
        <f>ROUND(D62*C63,2)*-1</f>
        <v>-33</v>
      </c>
    </row>
    <row r="64" spans="1:4" ht="29.5" customHeight="1" x14ac:dyDescent="0.35">
      <c r="A64" s="206" t="s">
        <v>78</v>
      </c>
      <c r="B64" s="206"/>
      <c r="C64" s="33">
        <v>100</v>
      </c>
      <c r="D64" s="33">
        <f>C64</f>
        <v>100</v>
      </c>
    </row>
    <row r="65" spans="1:4" ht="102.5" customHeight="1" x14ac:dyDescent="0.35">
      <c r="A65" s="205" t="s">
        <v>93</v>
      </c>
      <c r="B65" s="205"/>
      <c r="C65" s="102">
        <v>3.8</v>
      </c>
      <c r="D65" s="47">
        <f>ROUND(C65*2*22,2)</f>
        <v>167.2</v>
      </c>
    </row>
    <row r="66" spans="1:4" ht="62" customHeight="1" x14ac:dyDescent="0.35">
      <c r="A66" s="204" t="s">
        <v>94</v>
      </c>
      <c r="B66" s="204"/>
      <c r="C66" s="103">
        <v>0.06</v>
      </c>
      <c r="D66" s="34">
        <f>IF(D11*C66&gt;D65,"-",ROUND(D11*C66,2)*-1)</f>
        <v>-93.61</v>
      </c>
    </row>
    <row r="67" spans="1:4" ht="29.5" customHeight="1" x14ac:dyDescent="0.35">
      <c r="A67" s="205" t="s">
        <v>79</v>
      </c>
      <c r="B67" s="205"/>
      <c r="C67" s="102">
        <v>15</v>
      </c>
      <c r="D67" s="47">
        <f>C67</f>
        <v>15</v>
      </c>
    </row>
    <row r="68" spans="1:4" ht="44.5" customHeight="1" x14ac:dyDescent="0.35">
      <c r="A68" s="206" t="s">
        <v>219</v>
      </c>
      <c r="B68" s="206"/>
      <c r="C68" s="104">
        <v>10</v>
      </c>
      <c r="D68" s="33">
        <f>C68</f>
        <v>10</v>
      </c>
    </row>
    <row r="69" spans="1:4" ht="29.5" customHeight="1" x14ac:dyDescent="0.35">
      <c r="A69" s="205" t="s">
        <v>95</v>
      </c>
      <c r="B69" s="205"/>
      <c r="C69" s="102">
        <v>10</v>
      </c>
      <c r="D69" s="47">
        <f>C69</f>
        <v>10</v>
      </c>
    </row>
    <row r="70" spans="1:4" ht="25.5" customHeight="1" x14ac:dyDescent="0.35">
      <c r="A70" s="206" t="s">
        <v>47</v>
      </c>
      <c r="B70" s="206"/>
      <c r="C70" s="60" t="s">
        <v>60</v>
      </c>
      <c r="D70" s="33">
        <f>'Uniforme Tipo I'!F13</f>
        <v>82.32</v>
      </c>
    </row>
    <row r="71" spans="1:4" ht="25.5" customHeight="1" x14ac:dyDescent="0.35">
      <c r="A71" s="233" t="s">
        <v>265</v>
      </c>
      <c r="B71" s="234"/>
      <c r="C71" s="61" t="s">
        <v>60</v>
      </c>
      <c r="D71" s="45">
        <f>'Manutenção Equip.'!F7</f>
        <v>22.3</v>
      </c>
    </row>
    <row r="72" spans="1:4" ht="15" customHeight="1" x14ac:dyDescent="0.35">
      <c r="A72" s="217" t="s">
        <v>48</v>
      </c>
      <c r="B72" s="217"/>
      <c r="C72" s="217"/>
      <c r="D72" s="29">
        <f>ROUND(SUM(D62:D70),2)</f>
        <v>587.91</v>
      </c>
    </row>
    <row r="73" spans="1:4" x14ac:dyDescent="0.35">
      <c r="A73" s="20"/>
      <c r="B73" s="20"/>
      <c r="C73" s="20"/>
      <c r="D73" s="7"/>
    </row>
    <row r="74" spans="1:4" ht="30" customHeight="1" x14ac:dyDescent="0.35">
      <c r="A74" s="198" t="s">
        <v>49</v>
      </c>
      <c r="B74" s="200"/>
      <c r="C74" s="199"/>
      <c r="D74" s="29">
        <f>ROUND(D58+D72,2)</f>
        <v>3306.53</v>
      </c>
    </row>
    <row r="75" spans="1:4" x14ac:dyDescent="0.35">
      <c r="A75" s="20"/>
      <c r="B75" s="20"/>
      <c r="C75" s="20"/>
      <c r="D75" s="7"/>
    </row>
    <row r="76" spans="1:4" x14ac:dyDescent="0.35">
      <c r="A76" s="202" t="s">
        <v>88</v>
      </c>
      <c r="B76" s="202"/>
      <c r="C76" s="202"/>
      <c r="D76" s="202"/>
    </row>
    <row r="77" spans="1:4" x14ac:dyDescent="0.35">
      <c r="A77" s="207" t="s">
        <v>50</v>
      </c>
      <c r="B77" s="208"/>
      <c r="C77" s="90" t="s">
        <v>6</v>
      </c>
      <c r="D77" s="90" t="s">
        <v>7</v>
      </c>
    </row>
    <row r="78" spans="1:4" s="1" customFormat="1" ht="30" customHeight="1" x14ac:dyDescent="0.3">
      <c r="A78" s="176" t="s">
        <v>51</v>
      </c>
      <c r="B78" s="178"/>
      <c r="C78" s="13">
        <v>0.05</v>
      </c>
      <c r="D78" s="18">
        <f>ROUND(D74*C78,2)</f>
        <v>165.33</v>
      </c>
    </row>
    <row r="79" spans="1:4" s="1" customFormat="1" ht="30" customHeight="1" x14ac:dyDescent="0.3">
      <c r="A79" s="196" t="s">
        <v>9</v>
      </c>
      <c r="B79" s="197"/>
      <c r="C79" s="41">
        <v>0.1</v>
      </c>
      <c r="D79" s="44">
        <f>ROUND(D74*C79,2)</f>
        <v>330.65</v>
      </c>
    </row>
    <row r="80" spans="1:4" x14ac:dyDescent="0.35">
      <c r="A80" s="198" t="s">
        <v>52</v>
      </c>
      <c r="B80" s="199"/>
      <c r="C80" s="31">
        <f>ROUND(SUM(C78:C79),5)</f>
        <v>0.15</v>
      </c>
      <c r="D80" s="29">
        <f>SUM(D78:D79)</f>
        <v>495.98</v>
      </c>
    </row>
    <row r="81" spans="1:4" x14ac:dyDescent="0.35">
      <c r="A81" s="20"/>
      <c r="B81" s="20"/>
      <c r="C81" s="6"/>
      <c r="D81" s="7"/>
    </row>
    <row r="82" spans="1:4" ht="30" customHeight="1" x14ac:dyDescent="0.35">
      <c r="A82" s="198" t="s">
        <v>73</v>
      </c>
      <c r="B82" s="200"/>
      <c r="C82" s="199"/>
      <c r="D82" s="29">
        <f>ROUND(D74+D80,2)</f>
        <v>3802.51</v>
      </c>
    </row>
    <row r="83" spans="1:4" x14ac:dyDescent="0.35">
      <c r="A83" s="20"/>
      <c r="B83" s="20"/>
      <c r="C83" s="20"/>
      <c r="D83" s="7"/>
    </row>
    <row r="84" spans="1:4" ht="35.25" customHeight="1" x14ac:dyDescent="0.35">
      <c r="A84" s="235" t="s">
        <v>63</v>
      </c>
      <c r="B84" s="235"/>
      <c r="C84" s="30">
        <f>ROUND(1-(SUM(C87:C89)/1),5)</f>
        <v>0.91349999999999998</v>
      </c>
      <c r="D84" s="29">
        <f>ROUND(D82/C84,2)</f>
        <v>4162.57</v>
      </c>
    </row>
    <row r="85" spans="1:4" x14ac:dyDescent="0.35">
      <c r="A85" s="3"/>
      <c r="B85" s="3"/>
      <c r="C85" s="3"/>
      <c r="D85" s="3"/>
    </row>
    <row r="86" spans="1:4" x14ac:dyDescent="0.35">
      <c r="A86" s="207" t="s">
        <v>53</v>
      </c>
      <c r="B86" s="208"/>
      <c r="C86" s="90" t="s">
        <v>6</v>
      </c>
      <c r="D86" s="90" t="s">
        <v>7</v>
      </c>
    </row>
    <row r="87" spans="1:4" ht="22" customHeight="1" x14ac:dyDescent="0.35">
      <c r="A87" s="176" t="s">
        <v>54</v>
      </c>
      <c r="B87" s="178"/>
      <c r="C87" s="13">
        <v>0.05</v>
      </c>
      <c r="D87" s="5">
        <f>ROUND($D$84*C87,2)</f>
        <v>208.13</v>
      </c>
    </row>
    <row r="88" spans="1:4" ht="22" customHeight="1" x14ac:dyDescent="0.35">
      <c r="A88" s="196" t="s">
        <v>55</v>
      </c>
      <c r="B88" s="197"/>
      <c r="C88" s="41">
        <v>0.03</v>
      </c>
      <c r="D88" s="42">
        <f>ROUND($D$84*C88,2)</f>
        <v>124.88</v>
      </c>
    </row>
    <row r="89" spans="1:4" ht="22" customHeight="1" x14ac:dyDescent="0.35">
      <c r="A89" s="176" t="s">
        <v>56</v>
      </c>
      <c r="B89" s="178"/>
      <c r="C89" s="13">
        <v>6.4999999999999997E-3</v>
      </c>
      <c r="D89" s="5">
        <f>ROUND($D$84*C89,2)</f>
        <v>27.06</v>
      </c>
    </row>
    <row r="90" spans="1:4" x14ac:dyDescent="0.35">
      <c r="A90" s="198" t="s">
        <v>57</v>
      </c>
      <c r="B90" s="199"/>
      <c r="C90" s="30">
        <f>ROUND(SUM(C87:C89),5)</f>
        <v>8.6499999999999994E-2</v>
      </c>
      <c r="D90" s="29">
        <f>ROUND(SUM(D87:D89),2)</f>
        <v>360.07</v>
      </c>
    </row>
    <row r="91" spans="1:4" ht="10" customHeight="1" x14ac:dyDescent="0.35">
      <c r="A91" s="3"/>
      <c r="B91" s="3"/>
      <c r="C91" s="3"/>
      <c r="D91" s="3"/>
    </row>
    <row r="92" spans="1:4" ht="25" customHeight="1" x14ac:dyDescent="0.35">
      <c r="A92" s="198" t="s">
        <v>58</v>
      </c>
      <c r="B92" s="200"/>
      <c r="C92" s="199"/>
      <c r="D92" s="29">
        <f>ROUND(D82+D90,2)</f>
        <v>4162.58</v>
      </c>
    </row>
    <row r="93" spans="1:4" ht="25" customHeight="1" x14ac:dyDescent="0.35">
      <c r="A93" s="198" t="s">
        <v>64</v>
      </c>
      <c r="B93" s="200"/>
      <c r="C93" s="199"/>
      <c r="D93" s="29">
        <f>ROUND(D92*12,2)</f>
        <v>49950.96</v>
      </c>
    </row>
    <row r="94" spans="1:4" ht="10" customHeight="1" x14ac:dyDescent="0.35">
      <c r="A94" s="20"/>
      <c r="B94" s="20"/>
      <c r="C94" s="20"/>
      <c r="D94" s="7"/>
    </row>
    <row r="95" spans="1:4" ht="15" customHeight="1" x14ac:dyDescent="0.35">
      <c r="A95" s="202" t="s">
        <v>59</v>
      </c>
      <c r="B95" s="202"/>
      <c r="C95" s="202"/>
      <c r="D95" s="27" t="s">
        <v>6</v>
      </c>
    </row>
    <row r="96" spans="1:4" ht="15" customHeight="1" x14ac:dyDescent="0.35">
      <c r="A96" s="201" t="s">
        <v>74</v>
      </c>
      <c r="B96" s="201"/>
      <c r="C96" s="201"/>
      <c r="D96" s="17">
        <f>C25</f>
        <v>0.378</v>
      </c>
    </row>
    <row r="97" spans="1:4" ht="15" customHeight="1" x14ac:dyDescent="0.35">
      <c r="A97" s="203" t="s">
        <v>29</v>
      </c>
      <c r="B97" s="203"/>
      <c r="C97" s="203"/>
      <c r="D97" s="43">
        <f>C37</f>
        <v>0.23483000000000001</v>
      </c>
    </row>
    <row r="98" spans="1:4" ht="15" customHeight="1" x14ac:dyDescent="0.35">
      <c r="A98" s="201" t="s">
        <v>34</v>
      </c>
      <c r="B98" s="201"/>
      <c r="C98" s="201"/>
      <c r="D98" s="17">
        <f>C43</f>
        <v>3.7839999999999999E-2</v>
      </c>
    </row>
    <row r="99" spans="1:4" ht="15" customHeight="1" x14ac:dyDescent="0.35">
      <c r="A99" s="203" t="s">
        <v>37</v>
      </c>
      <c r="B99" s="203"/>
      <c r="C99" s="203"/>
      <c r="D99" s="43">
        <f>C47</f>
        <v>8.8770000000000002E-2</v>
      </c>
    </row>
    <row r="100" spans="1:4" ht="15" customHeight="1" x14ac:dyDescent="0.35">
      <c r="A100" s="201" t="s">
        <v>40</v>
      </c>
      <c r="B100" s="201"/>
      <c r="C100" s="201"/>
      <c r="D100" s="17">
        <f>C51</f>
        <v>3.3E-4</v>
      </c>
    </row>
    <row r="101" spans="1:4" ht="15" customHeight="1" x14ac:dyDescent="0.35">
      <c r="A101" s="203" t="s">
        <v>43</v>
      </c>
      <c r="B101" s="203"/>
      <c r="C101" s="203"/>
      <c r="D101" s="43">
        <f>C55</f>
        <v>2.7299999999999998E-3</v>
      </c>
    </row>
    <row r="102" spans="1:4" ht="15" customHeight="1" x14ac:dyDescent="0.35">
      <c r="A102" s="236" t="s">
        <v>75</v>
      </c>
      <c r="B102" s="236"/>
      <c r="C102" s="236"/>
      <c r="D102" s="28">
        <f>ROUND(SUM(D96:D101),5)</f>
        <v>0.74250000000000005</v>
      </c>
    </row>
    <row r="103" spans="1:4" ht="10" customHeight="1" x14ac:dyDescent="0.35"/>
    <row r="104" spans="1:4" x14ac:dyDescent="0.35">
      <c r="A104" s="207" t="s">
        <v>268</v>
      </c>
      <c r="B104" s="208"/>
      <c r="C104" s="90" t="s">
        <v>269</v>
      </c>
      <c r="D104" s="27" t="s">
        <v>6</v>
      </c>
    </row>
    <row r="105" spans="1:4" x14ac:dyDescent="0.35">
      <c r="A105" s="212" t="s">
        <v>270</v>
      </c>
      <c r="B105" s="213"/>
      <c r="C105" s="110">
        <f>D13</f>
        <v>1560.18</v>
      </c>
      <c r="D105" s="17">
        <f>ROUND(C105/$C$109,5)</f>
        <v>0.37480999999999998</v>
      </c>
    </row>
    <row r="106" spans="1:4" ht="24.5" customHeight="1" x14ac:dyDescent="0.35">
      <c r="A106" s="229" t="s">
        <v>271</v>
      </c>
      <c r="B106" s="230"/>
      <c r="C106" s="111">
        <f>D56</f>
        <v>1158.44</v>
      </c>
      <c r="D106" s="43">
        <f>ROUND(C106/$C$109,5)</f>
        <v>0.27829999999999999</v>
      </c>
    </row>
    <row r="107" spans="1:4" x14ac:dyDescent="0.35">
      <c r="A107" s="212" t="s">
        <v>272</v>
      </c>
      <c r="B107" s="213"/>
      <c r="C107" s="110">
        <f>D72</f>
        <v>587.91</v>
      </c>
      <c r="D107" s="17">
        <f>ROUND(C107/$C$109,5)</f>
        <v>0.14124</v>
      </c>
    </row>
    <row r="108" spans="1:4" x14ac:dyDescent="0.35">
      <c r="A108" s="229" t="s">
        <v>273</v>
      </c>
      <c r="B108" s="230"/>
      <c r="C108" s="111">
        <f>ROUND(D80+D90,2)</f>
        <v>856.05</v>
      </c>
      <c r="D108" s="43">
        <f>ROUND(C108/$C$109,5)</f>
        <v>0.20565</v>
      </c>
    </row>
    <row r="109" spans="1:4" x14ac:dyDescent="0.35">
      <c r="A109" s="231" t="s">
        <v>274</v>
      </c>
      <c r="B109" s="232"/>
      <c r="C109" s="112">
        <f>ROUND(SUM(C105:C108),2)</f>
        <v>4162.58</v>
      </c>
      <c r="D109" s="30">
        <f>ROUND(SUM(D105:D108),5)</f>
        <v>1</v>
      </c>
    </row>
  </sheetData>
  <mergeCells count="92">
    <mergeCell ref="A104:B104"/>
    <mergeCell ref="A98:C98"/>
    <mergeCell ref="A99:C99"/>
    <mergeCell ref="A100:C100"/>
    <mergeCell ref="A101:C101"/>
    <mergeCell ref="A102:C102"/>
    <mergeCell ref="A105:B105"/>
    <mergeCell ref="A106:B106"/>
    <mergeCell ref="A107:B107"/>
    <mergeCell ref="A108:B108"/>
    <mergeCell ref="A109:B109"/>
    <mergeCell ref="A97:C97"/>
    <mergeCell ref="A80:B80"/>
    <mergeCell ref="A82:C82"/>
    <mergeCell ref="A84:B84"/>
    <mergeCell ref="A86:B86"/>
    <mergeCell ref="A90:B90"/>
    <mergeCell ref="A92:C92"/>
    <mergeCell ref="A93:C93"/>
    <mergeCell ref="A95:C95"/>
    <mergeCell ref="A96:C96"/>
    <mergeCell ref="A87:B87"/>
    <mergeCell ref="A88:B88"/>
    <mergeCell ref="A89:B89"/>
    <mergeCell ref="A74:C74"/>
    <mergeCell ref="A76:D76"/>
    <mergeCell ref="A77:B77"/>
    <mergeCell ref="A78:B78"/>
    <mergeCell ref="A79:B79"/>
    <mergeCell ref="A68:B68"/>
    <mergeCell ref="A69:B69"/>
    <mergeCell ref="A70:B70"/>
    <mergeCell ref="A71:B71"/>
    <mergeCell ref="A72:C72"/>
    <mergeCell ref="A58:C58"/>
    <mergeCell ref="A46:B46"/>
    <mergeCell ref="A47:B47"/>
    <mergeCell ref="A49:B49"/>
    <mergeCell ref="A67:B67"/>
    <mergeCell ref="A60:D60"/>
    <mergeCell ref="A61:B61"/>
    <mergeCell ref="A62:B62"/>
    <mergeCell ref="A63:B63"/>
    <mergeCell ref="A64:B64"/>
    <mergeCell ref="A65:B65"/>
    <mergeCell ref="A66:B66"/>
    <mergeCell ref="A51:B51"/>
    <mergeCell ref="A53:B53"/>
    <mergeCell ref="A54:B54"/>
    <mergeCell ref="A55:B55"/>
    <mergeCell ref="A56:B56"/>
    <mergeCell ref="A31:B31"/>
    <mergeCell ref="A32:B32"/>
    <mergeCell ref="A33:B33"/>
    <mergeCell ref="A50:B50"/>
    <mergeCell ref="A40:B40"/>
    <mergeCell ref="A41:B41"/>
    <mergeCell ref="A42:B42"/>
    <mergeCell ref="A43:B43"/>
    <mergeCell ref="A45:B45"/>
    <mergeCell ref="A34:B34"/>
    <mergeCell ref="A35:B35"/>
    <mergeCell ref="A36:B36"/>
    <mergeCell ref="A37:B37"/>
    <mergeCell ref="A39:B39"/>
    <mergeCell ref="A25:B25"/>
    <mergeCell ref="A27:B27"/>
    <mergeCell ref="A28:B28"/>
    <mergeCell ref="A29:B29"/>
    <mergeCell ref="A30:B30"/>
    <mergeCell ref="A23:B23"/>
    <mergeCell ref="A24:B24"/>
    <mergeCell ref="A13:C13"/>
    <mergeCell ref="A15:D15"/>
    <mergeCell ref="A16:B16"/>
    <mergeCell ref="A17:B17"/>
    <mergeCell ref="A18:B18"/>
    <mergeCell ref="B6:D6"/>
    <mergeCell ref="A19:B19"/>
    <mergeCell ref="A20:B20"/>
    <mergeCell ref="A21:B21"/>
    <mergeCell ref="A22:B22"/>
    <mergeCell ref="A8:D8"/>
    <mergeCell ref="A9:D9"/>
    <mergeCell ref="A10:B10"/>
    <mergeCell ref="A11:B11"/>
    <mergeCell ref="A12:B12"/>
    <mergeCell ref="A1:D1"/>
    <mergeCell ref="B2:D2"/>
    <mergeCell ref="B3:D3"/>
    <mergeCell ref="B4:D4"/>
    <mergeCell ref="B5:D5"/>
  </mergeCells>
  <pageMargins left="0.23622047244094491" right="0.23622047244094491" top="1.3385826771653544" bottom="0.74803149606299213" header="0.9055118110236221" footer="0.31496062992125984"/>
  <pageSetup fitToHeight="0" orientation="landscape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C77A0-0CF7-4009-888D-DB84E1C27BFB}">
  <sheetPr>
    <pageSetUpPr fitToPage="1"/>
  </sheetPr>
  <dimension ref="A1:D109"/>
  <sheetViews>
    <sheetView view="pageBreakPreview" zoomScaleNormal="100" zoomScaleSheetLayoutView="100" workbookViewId="0">
      <selection activeCell="D71" sqref="D71"/>
    </sheetView>
  </sheetViews>
  <sheetFormatPr defaultRowHeight="14.5" x14ac:dyDescent="0.35"/>
  <cols>
    <col min="1" max="1" width="33.453125" customWidth="1"/>
    <col min="2" max="2" width="14.54296875" customWidth="1"/>
    <col min="3" max="3" width="10.81640625" customWidth="1"/>
    <col min="4" max="4" width="12.26953125" customWidth="1"/>
  </cols>
  <sheetData>
    <row r="1" spans="1:4" ht="23" customHeight="1" x14ac:dyDescent="0.35">
      <c r="A1" s="218" t="s">
        <v>0</v>
      </c>
      <c r="B1" s="218"/>
      <c r="C1" s="218"/>
      <c r="D1" s="218"/>
    </row>
    <row r="2" spans="1:4" ht="30.5" customHeight="1" x14ac:dyDescent="0.35">
      <c r="A2" s="23" t="s">
        <v>2</v>
      </c>
      <c r="B2" s="214" t="str">
        <f>'Quantidade de Cargo'!A12</f>
        <v>Copeiro II</v>
      </c>
      <c r="C2" s="215"/>
      <c r="D2" s="216"/>
    </row>
    <row r="3" spans="1:4" ht="15" customHeight="1" x14ac:dyDescent="0.35">
      <c r="A3" s="23" t="s">
        <v>61</v>
      </c>
      <c r="B3" s="219" t="str">
        <f>'Salario Base'!B15</f>
        <v>5134-25</v>
      </c>
      <c r="C3" s="220"/>
      <c r="D3" s="221"/>
    </row>
    <row r="4" spans="1:4" ht="15" customHeight="1" x14ac:dyDescent="0.35">
      <c r="A4" s="24" t="s">
        <v>1</v>
      </c>
      <c r="B4" s="214" t="s">
        <v>143</v>
      </c>
      <c r="C4" s="215"/>
      <c r="D4" s="216"/>
    </row>
    <row r="5" spans="1:4" ht="26" x14ac:dyDescent="0.35">
      <c r="A5" s="24" t="s">
        <v>3</v>
      </c>
      <c r="B5" s="222">
        <v>1</v>
      </c>
      <c r="C5" s="220"/>
      <c r="D5" s="221"/>
    </row>
    <row r="6" spans="1:4" ht="65.5" customHeight="1" x14ac:dyDescent="0.35">
      <c r="A6" s="24" t="s">
        <v>62</v>
      </c>
      <c r="B6" s="214" t="s">
        <v>275</v>
      </c>
      <c r="C6" s="215"/>
      <c r="D6" s="216"/>
    </row>
    <row r="7" spans="1:4" ht="15" customHeight="1" x14ac:dyDescent="0.35">
      <c r="A7" s="2"/>
      <c r="B7" s="16"/>
      <c r="C7" s="3"/>
      <c r="D7" s="3"/>
    </row>
    <row r="8" spans="1:4" x14ac:dyDescent="0.35">
      <c r="A8" s="223" t="s">
        <v>4</v>
      </c>
      <c r="B8" s="223"/>
      <c r="C8" s="223"/>
      <c r="D8" s="223"/>
    </row>
    <row r="9" spans="1:4" x14ac:dyDescent="0.35">
      <c r="A9" s="224" t="s">
        <v>70</v>
      </c>
      <c r="B9" s="225"/>
      <c r="C9" s="225"/>
      <c r="D9" s="226"/>
    </row>
    <row r="10" spans="1:4" x14ac:dyDescent="0.35">
      <c r="A10" s="227" t="s">
        <v>5</v>
      </c>
      <c r="B10" s="228"/>
      <c r="C10" s="134" t="s">
        <v>6</v>
      </c>
      <c r="D10" s="134" t="s">
        <v>7</v>
      </c>
    </row>
    <row r="11" spans="1:4" ht="40.5" customHeight="1" x14ac:dyDescent="0.35">
      <c r="A11" s="176" t="s">
        <v>8</v>
      </c>
      <c r="B11" s="178"/>
      <c r="C11" s="91" t="s">
        <v>60</v>
      </c>
      <c r="D11" s="4">
        <f>'Salario Base'!C15</f>
        <v>1415.83</v>
      </c>
    </row>
    <row r="12" spans="1:4" ht="15" customHeight="1" x14ac:dyDescent="0.35">
      <c r="A12" s="229" t="s">
        <v>66</v>
      </c>
      <c r="B12" s="230"/>
      <c r="C12" s="53"/>
      <c r="D12" s="42">
        <f>C12*D11/100</f>
        <v>0</v>
      </c>
    </row>
    <row r="13" spans="1:4" x14ac:dyDescent="0.35">
      <c r="A13" s="217" t="s">
        <v>20</v>
      </c>
      <c r="B13" s="217"/>
      <c r="C13" s="217"/>
      <c r="D13" s="29">
        <f>ROUND(SUM(D11:D12),2)</f>
        <v>1415.83</v>
      </c>
    </row>
    <row r="14" spans="1:4" x14ac:dyDescent="0.35">
      <c r="A14" s="3"/>
      <c r="B14" s="3"/>
      <c r="C14" s="3"/>
      <c r="D14" s="3"/>
    </row>
    <row r="15" spans="1:4" x14ac:dyDescent="0.35">
      <c r="A15" s="202" t="s">
        <v>71</v>
      </c>
      <c r="B15" s="202"/>
      <c r="C15" s="202"/>
      <c r="D15" s="202"/>
    </row>
    <row r="16" spans="1:4" x14ac:dyDescent="0.35">
      <c r="A16" s="202" t="s">
        <v>10</v>
      </c>
      <c r="B16" s="202"/>
      <c r="C16" s="134" t="s">
        <v>6</v>
      </c>
      <c r="D16" s="134" t="s">
        <v>7</v>
      </c>
    </row>
    <row r="17" spans="1:4" x14ac:dyDescent="0.35">
      <c r="A17" s="176" t="s">
        <v>11</v>
      </c>
      <c r="B17" s="178"/>
      <c r="C17" s="11">
        <v>0.2</v>
      </c>
      <c r="D17" s="5">
        <f>ROUND($D$13*C17,2)</f>
        <v>283.17</v>
      </c>
    </row>
    <row r="18" spans="1:4" x14ac:dyDescent="0.35">
      <c r="A18" s="196" t="s">
        <v>12</v>
      </c>
      <c r="B18" s="197"/>
      <c r="C18" s="52">
        <v>0.08</v>
      </c>
      <c r="D18" s="42">
        <f t="shared" ref="D18:D24" si="0">ROUND($D$13*C18,2)</f>
        <v>113.27</v>
      </c>
    </row>
    <row r="19" spans="1:4" x14ac:dyDescent="0.35">
      <c r="A19" s="176" t="s">
        <v>13</v>
      </c>
      <c r="B19" s="178"/>
      <c r="C19" s="11">
        <v>1.4999999999999999E-2</v>
      </c>
      <c r="D19" s="5">
        <f t="shared" si="0"/>
        <v>21.24</v>
      </c>
    </row>
    <row r="20" spans="1:4" ht="25.5" customHeight="1" x14ac:dyDescent="0.35">
      <c r="A20" s="196" t="s">
        <v>14</v>
      </c>
      <c r="B20" s="197"/>
      <c r="C20" s="52">
        <v>0.01</v>
      </c>
      <c r="D20" s="42">
        <f t="shared" si="0"/>
        <v>14.16</v>
      </c>
    </row>
    <row r="21" spans="1:4" ht="28.5" customHeight="1" x14ac:dyDescent="0.35">
      <c r="A21" s="176" t="s">
        <v>15</v>
      </c>
      <c r="B21" s="178"/>
      <c r="C21" s="11">
        <v>2E-3</v>
      </c>
      <c r="D21" s="5">
        <f t="shared" si="0"/>
        <v>2.83</v>
      </c>
    </row>
    <row r="22" spans="1:4" x14ac:dyDescent="0.35">
      <c r="A22" s="196" t="s">
        <v>16</v>
      </c>
      <c r="B22" s="197"/>
      <c r="C22" s="52">
        <v>6.0000000000000001E-3</v>
      </c>
      <c r="D22" s="42">
        <f t="shared" si="0"/>
        <v>8.49</v>
      </c>
    </row>
    <row r="23" spans="1:4" x14ac:dyDescent="0.35">
      <c r="A23" s="212" t="s">
        <v>17</v>
      </c>
      <c r="B23" s="213"/>
      <c r="C23" s="11">
        <v>2.5000000000000001E-2</v>
      </c>
      <c r="D23" s="5">
        <f t="shared" si="0"/>
        <v>35.4</v>
      </c>
    </row>
    <row r="24" spans="1:4" ht="39.75" customHeight="1" x14ac:dyDescent="0.35">
      <c r="A24" s="229" t="s">
        <v>18</v>
      </c>
      <c r="B24" s="230"/>
      <c r="C24" s="50">
        <v>0.06</v>
      </c>
      <c r="D24" s="42">
        <f t="shared" si="0"/>
        <v>84.95</v>
      </c>
    </row>
    <row r="25" spans="1:4" x14ac:dyDescent="0.35">
      <c r="A25" s="198" t="s">
        <v>19</v>
      </c>
      <c r="B25" s="199"/>
      <c r="C25" s="30">
        <f>ROUND(SUM(C17:C24),5)</f>
        <v>0.39800000000000002</v>
      </c>
      <c r="D25" s="29">
        <f>ROUND(SUM(D17:D24),2)</f>
        <v>563.51</v>
      </c>
    </row>
    <row r="26" spans="1:4" x14ac:dyDescent="0.35">
      <c r="A26" s="20"/>
      <c r="B26" s="20"/>
      <c r="C26" s="6"/>
      <c r="D26" s="7"/>
    </row>
    <row r="27" spans="1:4" x14ac:dyDescent="0.35">
      <c r="A27" s="202" t="s">
        <v>21</v>
      </c>
      <c r="B27" s="202"/>
      <c r="C27" s="134" t="s">
        <v>6</v>
      </c>
      <c r="D27" s="134" t="s">
        <v>7</v>
      </c>
    </row>
    <row r="28" spans="1:4" ht="25" customHeight="1" x14ac:dyDescent="0.35">
      <c r="A28" s="212" t="s">
        <v>22</v>
      </c>
      <c r="B28" s="213"/>
      <c r="C28" s="9">
        <f>ROUND(1/12,5)</f>
        <v>8.3330000000000001E-2</v>
      </c>
      <c r="D28" s="5">
        <f>ROUND($D$13*C28,2)</f>
        <v>117.98</v>
      </c>
    </row>
    <row r="29" spans="1:4" ht="25" customHeight="1" x14ac:dyDescent="0.35">
      <c r="A29" s="196" t="s">
        <v>263</v>
      </c>
      <c r="B29" s="197"/>
      <c r="C29" s="51">
        <f>ROUND((1/3)/12,5)</f>
        <v>2.7779999999999999E-2</v>
      </c>
      <c r="D29" s="42">
        <f t="shared" ref="D29:D36" si="1">ROUND($D$13*C29,2)</f>
        <v>39.33</v>
      </c>
    </row>
    <row r="30" spans="1:4" ht="25" customHeight="1" x14ac:dyDescent="0.35">
      <c r="A30" s="176" t="s">
        <v>23</v>
      </c>
      <c r="B30" s="178"/>
      <c r="C30" s="10">
        <f>ROUND((((100% / 30) * 7) / 12),5)</f>
        <v>1.9439999999999999E-2</v>
      </c>
      <c r="D30" s="5">
        <f t="shared" si="1"/>
        <v>27.52</v>
      </c>
    </row>
    <row r="31" spans="1:4" ht="25" customHeight="1" x14ac:dyDescent="0.35">
      <c r="A31" s="196" t="s">
        <v>24</v>
      </c>
      <c r="B31" s="197"/>
      <c r="C31" s="51">
        <f>ROUND((5/30)/12,5)</f>
        <v>1.389E-2</v>
      </c>
      <c r="D31" s="42">
        <f t="shared" si="1"/>
        <v>19.670000000000002</v>
      </c>
    </row>
    <row r="32" spans="1:4" ht="25" customHeight="1" x14ac:dyDescent="0.35">
      <c r="A32" s="176" t="s">
        <v>25</v>
      </c>
      <c r="B32" s="178"/>
      <c r="C32" s="10">
        <f>ROUND(((15/30/12)*0.08),5)</f>
        <v>3.3300000000000001E-3</v>
      </c>
      <c r="D32" s="5">
        <f t="shared" si="1"/>
        <v>4.71</v>
      </c>
    </row>
    <row r="33" spans="1:4" ht="25" customHeight="1" x14ac:dyDescent="0.35">
      <c r="A33" s="196" t="s">
        <v>26</v>
      </c>
      <c r="B33" s="197"/>
      <c r="C33" s="51">
        <f>ROUND((1/30)/12,5)</f>
        <v>2.7799999999999999E-3</v>
      </c>
      <c r="D33" s="42">
        <f t="shared" si="1"/>
        <v>3.94</v>
      </c>
    </row>
    <row r="34" spans="1:4" ht="25" customHeight="1" x14ac:dyDescent="0.35">
      <c r="A34" s="176" t="s">
        <v>27</v>
      </c>
      <c r="B34" s="178"/>
      <c r="C34" s="10">
        <f>ROUND(0.1111*0.02*0.333,5)</f>
        <v>7.3999999999999999E-4</v>
      </c>
      <c r="D34" s="5">
        <f t="shared" si="1"/>
        <v>1.05</v>
      </c>
    </row>
    <row r="35" spans="1:4" ht="25" customHeight="1" x14ac:dyDescent="0.35">
      <c r="A35" s="196" t="s">
        <v>28</v>
      </c>
      <c r="B35" s="197"/>
      <c r="C35" s="51">
        <f>ROUND(((5/30)/12)*0.015,5)</f>
        <v>2.1000000000000001E-4</v>
      </c>
      <c r="D35" s="42">
        <f t="shared" si="1"/>
        <v>0.3</v>
      </c>
    </row>
    <row r="36" spans="1:4" ht="25" customHeight="1" x14ac:dyDescent="0.35">
      <c r="A36" s="176" t="s">
        <v>264</v>
      </c>
      <c r="B36" s="178"/>
      <c r="C36" s="10">
        <f>ROUND(1/12,5)</f>
        <v>8.3330000000000001E-2</v>
      </c>
      <c r="D36" s="5">
        <f t="shared" si="1"/>
        <v>117.98</v>
      </c>
    </row>
    <row r="37" spans="1:4" x14ac:dyDescent="0.35">
      <c r="A37" s="198" t="s">
        <v>29</v>
      </c>
      <c r="B37" s="199"/>
      <c r="C37" s="30">
        <f>ROUND(SUM(C28:C36),5)</f>
        <v>0.23483000000000001</v>
      </c>
      <c r="D37" s="29">
        <f>ROUND(SUM(D28:D36),2)</f>
        <v>332.48</v>
      </c>
    </row>
    <row r="38" spans="1:4" x14ac:dyDescent="0.35">
      <c r="A38" s="20"/>
      <c r="B38" s="20"/>
      <c r="C38" s="8"/>
      <c r="D38" s="7"/>
    </row>
    <row r="39" spans="1:4" x14ac:dyDescent="0.35">
      <c r="A39" s="207" t="s">
        <v>30</v>
      </c>
      <c r="B39" s="208"/>
      <c r="C39" s="134" t="s">
        <v>6</v>
      </c>
      <c r="D39" s="134" t="s">
        <v>7</v>
      </c>
    </row>
    <row r="40" spans="1:4" ht="25" customHeight="1" x14ac:dyDescent="0.35">
      <c r="A40" s="210" t="s">
        <v>31</v>
      </c>
      <c r="B40" s="211"/>
      <c r="C40" s="12">
        <f>ROUND(1/12*5%,5)</f>
        <v>4.1700000000000001E-3</v>
      </c>
      <c r="D40" s="54">
        <f>ROUND($D$13*C40,2)</f>
        <v>5.9</v>
      </c>
    </row>
    <row r="41" spans="1:4" ht="25" customHeight="1" x14ac:dyDescent="0.35">
      <c r="A41" s="196" t="s">
        <v>32</v>
      </c>
      <c r="B41" s="197"/>
      <c r="C41" s="50">
        <f>ROUND(0.02*(1/12),5)</f>
        <v>1.67E-3</v>
      </c>
      <c r="D41" s="42">
        <f>ROUND($D$13*C41,2)</f>
        <v>2.36</v>
      </c>
    </row>
    <row r="42" spans="1:4" ht="25" customHeight="1" x14ac:dyDescent="0.35">
      <c r="A42" s="210" t="s">
        <v>33</v>
      </c>
      <c r="B42" s="211"/>
      <c r="C42" s="15">
        <f>ROUND(40%*8%,5)</f>
        <v>3.2000000000000001E-2</v>
      </c>
      <c r="D42" s="54">
        <f>ROUND($D$13*C42,2)</f>
        <v>45.31</v>
      </c>
    </row>
    <row r="43" spans="1:4" x14ac:dyDescent="0.35">
      <c r="A43" s="198" t="s">
        <v>34</v>
      </c>
      <c r="B43" s="199"/>
      <c r="C43" s="30">
        <f>ROUND(SUM(C40:C42),5)</f>
        <v>3.7839999999999999E-2</v>
      </c>
      <c r="D43" s="29">
        <f>ROUND(SUM(D40:D42),2)</f>
        <v>53.57</v>
      </c>
    </row>
    <row r="44" spans="1:4" x14ac:dyDescent="0.35">
      <c r="A44" s="20"/>
      <c r="B44" s="20"/>
      <c r="C44" s="8"/>
      <c r="D44" s="7"/>
    </row>
    <row r="45" spans="1:4" x14ac:dyDescent="0.35">
      <c r="A45" s="207" t="s">
        <v>35</v>
      </c>
      <c r="B45" s="208"/>
      <c r="C45" s="134" t="s">
        <v>6</v>
      </c>
      <c r="D45" s="134" t="s">
        <v>7</v>
      </c>
    </row>
    <row r="46" spans="1:4" ht="29" customHeight="1" x14ac:dyDescent="0.35">
      <c r="A46" s="176" t="s">
        <v>36</v>
      </c>
      <c r="B46" s="178"/>
      <c r="C46" s="14">
        <f>ROUND(C25*C37,5)</f>
        <v>9.3460000000000001E-2</v>
      </c>
      <c r="D46" s="5">
        <f>ROUND($D$13*C46,2)</f>
        <v>132.32</v>
      </c>
    </row>
    <row r="47" spans="1:4" x14ac:dyDescent="0.35">
      <c r="A47" s="198" t="s">
        <v>37</v>
      </c>
      <c r="B47" s="199"/>
      <c r="C47" s="30">
        <f>ROUND(SUM(C46),5)</f>
        <v>9.3460000000000001E-2</v>
      </c>
      <c r="D47" s="29">
        <f>ROUND(SUM(D46),2)</f>
        <v>132.32</v>
      </c>
    </row>
    <row r="48" spans="1:4" x14ac:dyDescent="0.35">
      <c r="A48" s="20"/>
      <c r="B48" s="20"/>
      <c r="C48" s="8"/>
      <c r="D48" s="7"/>
    </row>
    <row r="49" spans="1:4" x14ac:dyDescent="0.35">
      <c r="A49" s="207" t="s">
        <v>38</v>
      </c>
      <c r="B49" s="208"/>
      <c r="C49" s="134" t="s">
        <v>6</v>
      </c>
      <c r="D49" s="134" t="s">
        <v>7</v>
      </c>
    </row>
    <row r="50" spans="1:4" ht="65.5" customHeight="1" x14ac:dyDescent="0.35">
      <c r="A50" s="176" t="s">
        <v>39</v>
      </c>
      <c r="B50" s="178"/>
      <c r="C50" s="15">
        <f>ROUND(8%*C40,5)</f>
        <v>3.3E-4</v>
      </c>
      <c r="D50" s="5">
        <f>ROUND($D$13*C50,2)</f>
        <v>0.47</v>
      </c>
    </row>
    <row r="51" spans="1:4" x14ac:dyDescent="0.35">
      <c r="A51" s="198" t="s">
        <v>40</v>
      </c>
      <c r="B51" s="199"/>
      <c r="C51" s="30">
        <f>ROUND(SUM(C50:C50),5)</f>
        <v>3.3E-4</v>
      </c>
      <c r="D51" s="29">
        <f>ROUND(SUM(D50:D50),2)</f>
        <v>0.47</v>
      </c>
    </row>
    <row r="52" spans="1:4" x14ac:dyDescent="0.35">
      <c r="A52" s="20"/>
      <c r="B52" s="20"/>
      <c r="C52" s="8"/>
      <c r="D52" s="7"/>
    </row>
    <row r="53" spans="1:4" x14ac:dyDescent="0.35">
      <c r="A53" s="207" t="s">
        <v>41</v>
      </c>
      <c r="B53" s="208"/>
      <c r="C53" s="134" t="s">
        <v>6</v>
      </c>
      <c r="D53" s="134" t="s">
        <v>7</v>
      </c>
    </row>
    <row r="54" spans="1:4" ht="114" customHeight="1" x14ac:dyDescent="0.35">
      <c r="A54" s="176" t="s">
        <v>42</v>
      </c>
      <c r="B54" s="178"/>
      <c r="C54" s="14">
        <f>ROUND(C25*(13/12)*(4/12)*2/100,5)</f>
        <v>2.8700000000000002E-3</v>
      </c>
      <c r="D54" s="5">
        <f>ROUND($D$13*C54,2)</f>
        <v>4.0599999999999996</v>
      </c>
    </row>
    <row r="55" spans="1:4" x14ac:dyDescent="0.35">
      <c r="A55" s="198" t="s">
        <v>43</v>
      </c>
      <c r="B55" s="199"/>
      <c r="C55" s="30">
        <f>ROUND(SUM(C54),5)</f>
        <v>2.8700000000000002E-3</v>
      </c>
      <c r="D55" s="29">
        <f>ROUND(SUM(D54),2)</f>
        <v>4.0599999999999996</v>
      </c>
    </row>
    <row r="56" spans="1:4" x14ac:dyDescent="0.35">
      <c r="A56" s="198" t="s">
        <v>44</v>
      </c>
      <c r="B56" s="199"/>
      <c r="C56" s="30">
        <f>ROUND(C25+C37+C43+C47+C51+C55,5)</f>
        <v>0.76732999999999996</v>
      </c>
      <c r="D56" s="29">
        <f>ROUND(D25+D37+D43+D47+D51+D55,2)</f>
        <v>1086.4100000000001</v>
      </c>
    </row>
    <row r="57" spans="1:4" ht="15" customHeight="1" x14ac:dyDescent="0.35">
      <c r="A57" s="20"/>
      <c r="B57" s="20"/>
      <c r="C57" s="8"/>
      <c r="D57" s="7"/>
    </row>
    <row r="58" spans="1:4" ht="15" customHeight="1" x14ac:dyDescent="0.35">
      <c r="A58" s="198" t="s">
        <v>45</v>
      </c>
      <c r="B58" s="200"/>
      <c r="C58" s="199"/>
      <c r="D58" s="29">
        <f>D13+D56</f>
        <v>2502.2399999999998</v>
      </c>
    </row>
    <row r="59" spans="1:4" ht="15" customHeight="1" x14ac:dyDescent="0.35">
      <c r="A59" s="3"/>
      <c r="B59" s="3"/>
      <c r="C59" s="3"/>
      <c r="D59" s="3"/>
    </row>
    <row r="60" spans="1:4" ht="15" customHeight="1" x14ac:dyDescent="0.35">
      <c r="A60" s="202" t="s">
        <v>72</v>
      </c>
      <c r="B60" s="202"/>
      <c r="C60" s="202"/>
      <c r="D60" s="202"/>
    </row>
    <row r="61" spans="1:4" x14ac:dyDescent="0.35">
      <c r="A61" s="202" t="s">
        <v>46</v>
      </c>
      <c r="B61" s="202"/>
      <c r="C61" s="134" t="s">
        <v>218</v>
      </c>
      <c r="D61" s="135" t="s">
        <v>7</v>
      </c>
    </row>
    <row r="62" spans="1:4" ht="96" customHeight="1" x14ac:dyDescent="0.35">
      <c r="A62" s="206" t="s">
        <v>91</v>
      </c>
      <c r="B62" s="206"/>
      <c r="C62" s="33">
        <v>15</v>
      </c>
      <c r="D62" s="33">
        <f>ROUND(C62*22,2)</f>
        <v>330</v>
      </c>
    </row>
    <row r="63" spans="1:4" ht="53.5" customHeight="1" x14ac:dyDescent="0.35">
      <c r="A63" s="209" t="s">
        <v>92</v>
      </c>
      <c r="B63" s="209"/>
      <c r="C63" s="101">
        <v>0.1</v>
      </c>
      <c r="D63" s="49">
        <f>ROUND(D62*C63,2)*-1</f>
        <v>-33</v>
      </c>
    </row>
    <row r="64" spans="1:4" ht="29.5" customHeight="1" x14ac:dyDescent="0.35">
      <c r="A64" s="206" t="s">
        <v>78</v>
      </c>
      <c r="B64" s="206"/>
      <c r="C64" s="33">
        <v>100</v>
      </c>
      <c r="D64" s="33">
        <f>C64</f>
        <v>100</v>
      </c>
    </row>
    <row r="65" spans="1:4" ht="102.5" customHeight="1" x14ac:dyDescent="0.35">
      <c r="A65" s="205" t="s">
        <v>93</v>
      </c>
      <c r="B65" s="205"/>
      <c r="C65" s="102">
        <v>3.8</v>
      </c>
      <c r="D65" s="47">
        <f>ROUND(C65*2*22,2)</f>
        <v>167.2</v>
      </c>
    </row>
    <row r="66" spans="1:4" ht="62" customHeight="1" x14ac:dyDescent="0.35">
      <c r="A66" s="204" t="s">
        <v>94</v>
      </c>
      <c r="B66" s="204"/>
      <c r="C66" s="103">
        <v>0.06</v>
      </c>
      <c r="D66" s="34">
        <f>IF(D11*C66&gt;D65,"-",ROUND(D11*C66,2)*-1)</f>
        <v>-84.95</v>
      </c>
    </row>
    <row r="67" spans="1:4" ht="29.5" customHeight="1" x14ac:dyDescent="0.35">
      <c r="A67" s="205" t="s">
        <v>79</v>
      </c>
      <c r="B67" s="205"/>
      <c r="C67" s="102">
        <v>15</v>
      </c>
      <c r="D67" s="47">
        <f>C67</f>
        <v>15</v>
      </c>
    </row>
    <row r="68" spans="1:4" ht="44.5" customHeight="1" x14ac:dyDescent="0.35">
      <c r="A68" s="206" t="s">
        <v>219</v>
      </c>
      <c r="B68" s="206"/>
      <c r="C68" s="104">
        <v>10</v>
      </c>
      <c r="D68" s="33">
        <f>C68</f>
        <v>10</v>
      </c>
    </row>
    <row r="69" spans="1:4" ht="29.5" customHeight="1" x14ac:dyDescent="0.35">
      <c r="A69" s="205" t="s">
        <v>95</v>
      </c>
      <c r="B69" s="205"/>
      <c r="C69" s="102">
        <v>10</v>
      </c>
      <c r="D69" s="47">
        <f>C69</f>
        <v>10</v>
      </c>
    </row>
    <row r="70" spans="1:4" ht="25.5" customHeight="1" x14ac:dyDescent="0.35">
      <c r="A70" s="206" t="s">
        <v>47</v>
      </c>
      <c r="B70" s="206"/>
      <c r="C70" s="60" t="s">
        <v>60</v>
      </c>
      <c r="D70" s="33">
        <f>'Uniforme Tipo I'!F13</f>
        <v>82.32</v>
      </c>
    </row>
    <row r="71" spans="1:4" ht="25.5" customHeight="1" x14ac:dyDescent="0.35">
      <c r="A71" s="233" t="s">
        <v>265</v>
      </c>
      <c r="B71" s="234"/>
      <c r="C71" s="61" t="s">
        <v>60</v>
      </c>
      <c r="D71" s="45">
        <f>'Manutenção Equip.'!F7</f>
        <v>22.3</v>
      </c>
    </row>
    <row r="72" spans="1:4" ht="15" customHeight="1" x14ac:dyDescent="0.35">
      <c r="A72" s="217" t="s">
        <v>48</v>
      </c>
      <c r="B72" s="217"/>
      <c r="C72" s="217"/>
      <c r="D72" s="29">
        <f>ROUND(SUM(D62:D70),2)</f>
        <v>596.57000000000005</v>
      </c>
    </row>
    <row r="73" spans="1:4" x14ac:dyDescent="0.35">
      <c r="A73" s="20"/>
      <c r="B73" s="20"/>
      <c r="C73" s="20"/>
      <c r="D73" s="7"/>
    </row>
    <row r="74" spans="1:4" ht="30" customHeight="1" x14ac:dyDescent="0.35">
      <c r="A74" s="198" t="s">
        <v>49</v>
      </c>
      <c r="B74" s="200"/>
      <c r="C74" s="199"/>
      <c r="D74" s="29">
        <f>ROUND(D58+D72,2)</f>
        <v>3098.81</v>
      </c>
    </row>
    <row r="75" spans="1:4" x14ac:dyDescent="0.35">
      <c r="A75" s="20"/>
      <c r="B75" s="20"/>
      <c r="C75" s="20"/>
      <c r="D75" s="7"/>
    </row>
    <row r="76" spans="1:4" x14ac:dyDescent="0.35">
      <c r="A76" s="202" t="s">
        <v>88</v>
      </c>
      <c r="B76" s="202"/>
      <c r="C76" s="202"/>
      <c r="D76" s="202"/>
    </row>
    <row r="77" spans="1:4" x14ac:dyDescent="0.35">
      <c r="A77" s="207" t="s">
        <v>50</v>
      </c>
      <c r="B77" s="208"/>
      <c r="C77" s="134" t="s">
        <v>6</v>
      </c>
      <c r="D77" s="134" t="s">
        <v>7</v>
      </c>
    </row>
    <row r="78" spans="1:4" s="1" customFormat="1" ht="30" customHeight="1" x14ac:dyDescent="0.3">
      <c r="A78" s="176" t="s">
        <v>51</v>
      </c>
      <c r="B78" s="178"/>
      <c r="C78" s="13">
        <v>0.05</v>
      </c>
      <c r="D78" s="18">
        <f>ROUND(D74*C78,2)</f>
        <v>154.94</v>
      </c>
    </row>
    <row r="79" spans="1:4" s="1" customFormat="1" ht="30" customHeight="1" x14ac:dyDescent="0.3">
      <c r="A79" s="196" t="s">
        <v>9</v>
      </c>
      <c r="B79" s="197"/>
      <c r="C79" s="41">
        <v>0.1</v>
      </c>
      <c r="D79" s="44">
        <f>ROUND(D74*C79,2)</f>
        <v>309.88</v>
      </c>
    </row>
    <row r="80" spans="1:4" x14ac:dyDescent="0.35">
      <c r="A80" s="198" t="s">
        <v>52</v>
      </c>
      <c r="B80" s="199"/>
      <c r="C80" s="31">
        <f>ROUND(SUM(C78:C79),5)</f>
        <v>0.15</v>
      </c>
      <c r="D80" s="29">
        <f>SUM(D78:D79)</f>
        <v>464.82</v>
      </c>
    </row>
    <row r="81" spans="1:4" x14ac:dyDescent="0.35">
      <c r="A81" s="20"/>
      <c r="B81" s="20"/>
      <c r="C81" s="6"/>
      <c r="D81" s="7"/>
    </row>
    <row r="82" spans="1:4" ht="30" customHeight="1" x14ac:dyDescent="0.35">
      <c r="A82" s="198" t="s">
        <v>73</v>
      </c>
      <c r="B82" s="200"/>
      <c r="C82" s="199"/>
      <c r="D82" s="29">
        <f>ROUND(D74+D80,2)</f>
        <v>3563.63</v>
      </c>
    </row>
    <row r="83" spans="1:4" x14ac:dyDescent="0.35">
      <c r="A83" s="20"/>
      <c r="B83" s="20"/>
      <c r="C83" s="20"/>
      <c r="D83" s="7"/>
    </row>
    <row r="84" spans="1:4" ht="35.25" customHeight="1" x14ac:dyDescent="0.35">
      <c r="A84" s="235" t="s">
        <v>63</v>
      </c>
      <c r="B84" s="235"/>
      <c r="C84" s="30">
        <f>ROUND(1-(SUM(C87:C89)/1),5)</f>
        <v>0.91349999999999998</v>
      </c>
      <c r="D84" s="29">
        <f>ROUND(D82/C84,2)</f>
        <v>3901.07</v>
      </c>
    </row>
    <row r="85" spans="1:4" x14ac:dyDescent="0.35">
      <c r="A85" s="3"/>
      <c r="B85" s="3"/>
      <c r="C85" s="3"/>
      <c r="D85" s="3"/>
    </row>
    <row r="86" spans="1:4" x14ac:dyDescent="0.35">
      <c r="A86" s="207" t="s">
        <v>53</v>
      </c>
      <c r="B86" s="208"/>
      <c r="C86" s="134" t="s">
        <v>6</v>
      </c>
      <c r="D86" s="134" t="s">
        <v>7</v>
      </c>
    </row>
    <row r="87" spans="1:4" ht="22" customHeight="1" x14ac:dyDescent="0.35">
      <c r="A87" s="176" t="s">
        <v>54</v>
      </c>
      <c r="B87" s="178"/>
      <c r="C87" s="13">
        <v>0.05</v>
      </c>
      <c r="D87" s="5">
        <f>ROUND($D$84*C87,2)</f>
        <v>195.05</v>
      </c>
    </row>
    <row r="88" spans="1:4" ht="22" customHeight="1" x14ac:dyDescent="0.35">
      <c r="A88" s="196" t="s">
        <v>55</v>
      </c>
      <c r="B88" s="197"/>
      <c r="C88" s="41">
        <v>0.03</v>
      </c>
      <c r="D88" s="42">
        <f>ROUND($D$84*C88,2)</f>
        <v>117.03</v>
      </c>
    </row>
    <row r="89" spans="1:4" ht="22" customHeight="1" x14ac:dyDescent="0.35">
      <c r="A89" s="176" t="s">
        <v>56</v>
      </c>
      <c r="B89" s="178"/>
      <c r="C89" s="13">
        <v>6.4999999999999997E-3</v>
      </c>
      <c r="D89" s="5">
        <f>ROUND($D$84*C89,2)</f>
        <v>25.36</v>
      </c>
    </row>
    <row r="90" spans="1:4" x14ac:dyDescent="0.35">
      <c r="A90" s="198" t="s">
        <v>57</v>
      </c>
      <c r="B90" s="199"/>
      <c r="C90" s="30">
        <f>ROUND(SUM(C87:C89),5)</f>
        <v>8.6499999999999994E-2</v>
      </c>
      <c r="D90" s="29">
        <f>ROUND(SUM(D87:D89),2)</f>
        <v>337.44</v>
      </c>
    </row>
    <row r="91" spans="1:4" ht="10" customHeight="1" x14ac:dyDescent="0.35">
      <c r="A91" s="3"/>
      <c r="B91" s="3"/>
      <c r="C91" s="3"/>
      <c r="D91" s="3"/>
    </row>
    <row r="92" spans="1:4" ht="25" customHeight="1" x14ac:dyDescent="0.35">
      <c r="A92" s="198" t="s">
        <v>58</v>
      </c>
      <c r="B92" s="200"/>
      <c r="C92" s="199"/>
      <c r="D92" s="29">
        <f>ROUND(D82+D90,2)</f>
        <v>3901.07</v>
      </c>
    </row>
    <row r="93" spans="1:4" ht="25" customHeight="1" x14ac:dyDescent="0.35">
      <c r="A93" s="198" t="s">
        <v>64</v>
      </c>
      <c r="B93" s="200"/>
      <c r="C93" s="199"/>
      <c r="D93" s="29">
        <f>ROUND(D92*12,2)</f>
        <v>46812.84</v>
      </c>
    </row>
    <row r="94" spans="1:4" ht="10" customHeight="1" x14ac:dyDescent="0.35">
      <c r="A94" s="20"/>
      <c r="B94" s="20"/>
      <c r="C94" s="20"/>
      <c r="D94" s="7"/>
    </row>
    <row r="95" spans="1:4" ht="15" customHeight="1" x14ac:dyDescent="0.35">
      <c r="A95" s="202" t="s">
        <v>59</v>
      </c>
      <c r="B95" s="202"/>
      <c r="C95" s="202"/>
      <c r="D95" s="27" t="s">
        <v>6</v>
      </c>
    </row>
    <row r="96" spans="1:4" ht="15" customHeight="1" x14ac:dyDescent="0.35">
      <c r="A96" s="201" t="s">
        <v>74</v>
      </c>
      <c r="B96" s="201"/>
      <c r="C96" s="201"/>
      <c r="D96" s="17">
        <f>C25</f>
        <v>0.39800000000000002</v>
      </c>
    </row>
    <row r="97" spans="1:4" ht="15" customHeight="1" x14ac:dyDescent="0.35">
      <c r="A97" s="203" t="s">
        <v>29</v>
      </c>
      <c r="B97" s="203"/>
      <c r="C97" s="203"/>
      <c r="D97" s="43">
        <f>C37</f>
        <v>0.23483000000000001</v>
      </c>
    </row>
    <row r="98" spans="1:4" ht="15" customHeight="1" x14ac:dyDescent="0.35">
      <c r="A98" s="201" t="s">
        <v>34</v>
      </c>
      <c r="B98" s="201"/>
      <c r="C98" s="201"/>
      <c r="D98" s="17">
        <f>C43</f>
        <v>3.7839999999999999E-2</v>
      </c>
    </row>
    <row r="99" spans="1:4" ht="15" customHeight="1" x14ac:dyDescent="0.35">
      <c r="A99" s="203" t="s">
        <v>37</v>
      </c>
      <c r="B99" s="203"/>
      <c r="C99" s="203"/>
      <c r="D99" s="43">
        <f>C47</f>
        <v>9.3460000000000001E-2</v>
      </c>
    </row>
    <row r="100" spans="1:4" ht="15" customHeight="1" x14ac:dyDescent="0.35">
      <c r="A100" s="201" t="s">
        <v>40</v>
      </c>
      <c r="B100" s="201"/>
      <c r="C100" s="201"/>
      <c r="D100" s="17">
        <f>C51</f>
        <v>3.3E-4</v>
      </c>
    </row>
    <row r="101" spans="1:4" ht="15" customHeight="1" x14ac:dyDescent="0.35">
      <c r="A101" s="203" t="s">
        <v>43</v>
      </c>
      <c r="B101" s="203"/>
      <c r="C101" s="203"/>
      <c r="D101" s="43">
        <f>C55</f>
        <v>2.8700000000000002E-3</v>
      </c>
    </row>
    <row r="102" spans="1:4" ht="15" customHeight="1" x14ac:dyDescent="0.35">
      <c r="A102" s="236" t="s">
        <v>75</v>
      </c>
      <c r="B102" s="236"/>
      <c r="C102" s="236"/>
      <c r="D102" s="28">
        <f>ROUND(SUM(D96:D101),5)</f>
        <v>0.76732999999999996</v>
      </c>
    </row>
    <row r="103" spans="1:4" ht="10" customHeight="1" x14ac:dyDescent="0.35"/>
    <row r="104" spans="1:4" x14ac:dyDescent="0.35">
      <c r="A104" s="207" t="s">
        <v>268</v>
      </c>
      <c r="B104" s="208"/>
      <c r="C104" s="134" t="s">
        <v>269</v>
      </c>
      <c r="D104" s="27" t="s">
        <v>6</v>
      </c>
    </row>
    <row r="105" spans="1:4" x14ac:dyDescent="0.35">
      <c r="A105" s="212" t="s">
        <v>270</v>
      </c>
      <c r="B105" s="213"/>
      <c r="C105" s="110">
        <f>D13</f>
        <v>1415.83</v>
      </c>
      <c r="D105" s="17">
        <f>ROUND(C105/$C$109,5)</f>
        <v>0.36292999999999997</v>
      </c>
    </row>
    <row r="106" spans="1:4" ht="24.5" customHeight="1" x14ac:dyDescent="0.35">
      <c r="A106" s="229" t="s">
        <v>271</v>
      </c>
      <c r="B106" s="230"/>
      <c r="C106" s="111">
        <f>D56</f>
        <v>1086.4100000000001</v>
      </c>
      <c r="D106" s="43">
        <f>ROUND(C106/$C$109,5)</f>
        <v>0.27849000000000002</v>
      </c>
    </row>
    <row r="107" spans="1:4" x14ac:dyDescent="0.35">
      <c r="A107" s="212" t="s">
        <v>272</v>
      </c>
      <c r="B107" s="213"/>
      <c r="C107" s="110">
        <f>D72</f>
        <v>596.57000000000005</v>
      </c>
      <c r="D107" s="17">
        <f>ROUND(C107/$C$109,5)</f>
        <v>0.15292</v>
      </c>
    </row>
    <row r="108" spans="1:4" x14ac:dyDescent="0.35">
      <c r="A108" s="229" t="s">
        <v>273</v>
      </c>
      <c r="B108" s="230"/>
      <c r="C108" s="111">
        <f>ROUND(D80+D90,2)</f>
        <v>802.26</v>
      </c>
      <c r="D108" s="43">
        <f>ROUND(C108/$C$109,5)</f>
        <v>0.20565</v>
      </c>
    </row>
    <row r="109" spans="1:4" x14ac:dyDescent="0.35">
      <c r="A109" s="231" t="s">
        <v>274</v>
      </c>
      <c r="B109" s="232"/>
      <c r="C109" s="112">
        <f>ROUND(SUM(C105:C108),2)</f>
        <v>3901.07</v>
      </c>
      <c r="D109" s="30">
        <f>ROUND(SUM(D105:D108),5)</f>
        <v>0.99999000000000005</v>
      </c>
    </row>
  </sheetData>
  <mergeCells count="92">
    <mergeCell ref="A108:B108"/>
    <mergeCell ref="A109:B109"/>
    <mergeCell ref="A101:C101"/>
    <mergeCell ref="A102:C102"/>
    <mergeCell ref="A104:B104"/>
    <mergeCell ref="A105:B105"/>
    <mergeCell ref="A106:B106"/>
    <mergeCell ref="A107:B107"/>
    <mergeCell ref="A95:C95"/>
    <mergeCell ref="A96:C96"/>
    <mergeCell ref="A97:C97"/>
    <mergeCell ref="A98:C98"/>
    <mergeCell ref="A99:C99"/>
    <mergeCell ref="A100:C100"/>
    <mergeCell ref="A87:B87"/>
    <mergeCell ref="A88:B88"/>
    <mergeCell ref="A89:B89"/>
    <mergeCell ref="A90:B90"/>
    <mergeCell ref="A92:C92"/>
    <mergeCell ref="A93:C93"/>
    <mergeCell ref="A78:B78"/>
    <mergeCell ref="A79:B79"/>
    <mergeCell ref="A80:B80"/>
    <mergeCell ref="A82:C82"/>
    <mergeCell ref="A84:B84"/>
    <mergeCell ref="A86:B86"/>
    <mergeCell ref="A70:B70"/>
    <mergeCell ref="A71:B71"/>
    <mergeCell ref="A72:C72"/>
    <mergeCell ref="A74:C74"/>
    <mergeCell ref="A76:D76"/>
    <mergeCell ref="A77:B77"/>
    <mergeCell ref="A64:B64"/>
    <mergeCell ref="A65:B65"/>
    <mergeCell ref="A66:B66"/>
    <mergeCell ref="A67:B67"/>
    <mergeCell ref="A68:B68"/>
    <mergeCell ref="A69:B69"/>
    <mergeCell ref="A56:B56"/>
    <mergeCell ref="A58:C58"/>
    <mergeCell ref="A60:D60"/>
    <mergeCell ref="A61:B61"/>
    <mergeCell ref="A62:B62"/>
    <mergeCell ref="A63:B63"/>
    <mergeCell ref="A49:B49"/>
    <mergeCell ref="A50:B50"/>
    <mergeCell ref="A51:B51"/>
    <mergeCell ref="A53:B53"/>
    <mergeCell ref="A54:B54"/>
    <mergeCell ref="A55:B55"/>
    <mergeCell ref="A41:B41"/>
    <mergeCell ref="A42:B42"/>
    <mergeCell ref="A43:B43"/>
    <mergeCell ref="A45:B45"/>
    <mergeCell ref="A46:B46"/>
    <mergeCell ref="A47:B47"/>
    <mergeCell ref="A34:B34"/>
    <mergeCell ref="A35:B35"/>
    <mergeCell ref="A36:B36"/>
    <mergeCell ref="A37:B37"/>
    <mergeCell ref="A39:B39"/>
    <mergeCell ref="A40:B40"/>
    <mergeCell ref="A28:B28"/>
    <mergeCell ref="A29:B29"/>
    <mergeCell ref="A30:B30"/>
    <mergeCell ref="A31:B31"/>
    <mergeCell ref="A32:B32"/>
    <mergeCell ref="A33:B33"/>
    <mergeCell ref="A21:B21"/>
    <mergeCell ref="A22:B22"/>
    <mergeCell ref="A23:B23"/>
    <mergeCell ref="A24:B24"/>
    <mergeCell ref="A25:B25"/>
    <mergeCell ref="A27:B27"/>
    <mergeCell ref="A15:D15"/>
    <mergeCell ref="A16:B16"/>
    <mergeCell ref="A17:B17"/>
    <mergeCell ref="A18:B18"/>
    <mergeCell ref="A19:B19"/>
    <mergeCell ref="A20:B20"/>
    <mergeCell ref="A8:D8"/>
    <mergeCell ref="A9:D9"/>
    <mergeCell ref="A10:B10"/>
    <mergeCell ref="A11:B11"/>
    <mergeCell ref="A12:B12"/>
    <mergeCell ref="A13:C13"/>
    <mergeCell ref="A1:D1"/>
    <mergeCell ref="B2:D2"/>
    <mergeCell ref="B3:D3"/>
    <mergeCell ref="B4:D4"/>
    <mergeCell ref="B5:D5"/>
    <mergeCell ref="B6:D6"/>
  </mergeCells>
  <pageMargins left="0.23622047244094491" right="0.23622047244094491" top="1.3385826771653544" bottom="0.74803149606299213" header="0.9055118110236221" footer="0.31496062992125984"/>
  <pageSetup fitToHeight="0" orientation="landscape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9FCB3-5C2A-4FE5-84F7-E22735D4FF5A}">
  <sheetPr codeName="Planilha15">
    <pageSetUpPr fitToPage="1"/>
  </sheetPr>
  <dimension ref="A1:D109"/>
  <sheetViews>
    <sheetView view="pageBreakPreview" zoomScaleNormal="100" zoomScaleSheetLayoutView="100" workbookViewId="0">
      <selection activeCell="A11" sqref="A11:B11"/>
    </sheetView>
  </sheetViews>
  <sheetFormatPr defaultRowHeight="14.5" x14ac:dyDescent="0.35"/>
  <cols>
    <col min="1" max="1" width="33.453125" customWidth="1"/>
    <col min="2" max="2" width="14.54296875" customWidth="1"/>
    <col min="3" max="3" width="10.81640625" customWidth="1"/>
    <col min="4" max="4" width="12.26953125" customWidth="1"/>
  </cols>
  <sheetData>
    <row r="1" spans="1:4" ht="24.5" customHeight="1" x14ac:dyDescent="0.35">
      <c r="A1" s="218" t="s">
        <v>0</v>
      </c>
      <c r="B1" s="218"/>
      <c r="C1" s="218"/>
      <c r="D1" s="218"/>
    </row>
    <row r="2" spans="1:4" ht="30.5" customHeight="1" x14ac:dyDescent="0.35">
      <c r="A2" s="23" t="s">
        <v>2</v>
      </c>
      <c r="B2" s="214" t="str">
        <f>'Quantidade de Cargo'!A13</f>
        <v>Designer Gráfico</v>
      </c>
      <c r="C2" s="215"/>
      <c r="D2" s="216"/>
    </row>
    <row r="3" spans="1:4" ht="15" customHeight="1" x14ac:dyDescent="0.35">
      <c r="A3" s="23" t="s">
        <v>61</v>
      </c>
      <c r="B3" s="219" t="str">
        <f>'Salario Base'!B16</f>
        <v>2624-10</v>
      </c>
      <c r="C3" s="220"/>
      <c r="D3" s="221"/>
    </row>
    <row r="4" spans="1:4" ht="15" customHeight="1" x14ac:dyDescent="0.35">
      <c r="A4" s="24" t="s">
        <v>1</v>
      </c>
      <c r="B4" s="214" t="s">
        <v>143</v>
      </c>
      <c r="C4" s="215"/>
      <c r="D4" s="216"/>
    </row>
    <row r="5" spans="1:4" ht="26" x14ac:dyDescent="0.35">
      <c r="A5" s="24" t="s">
        <v>3</v>
      </c>
      <c r="B5" s="222">
        <v>1</v>
      </c>
      <c r="C5" s="220"/>
      <c r="D5" s="221"/>
    </row>
    <row r="6" spans="1:4" ht="65.5" customHeight="1" x14ac:dyDescent="0.35">
      <c r="A6" s="24" t="s">
        <v>62</v>
      </c>
      <c r="B6" s="214" t="s">
        <v>275</v>
      </c>
      <c r="C6" s="215"/>
      <c r="D6" s="216"/>
    </row>
    <row r="7" spans="1:4" ht="15" customHeight="1" x14ac:dyDescent="0.35">
      <c r="A7" s="2"/>
      <c r="B7" s="16"/>
      <c r="C7" s="3"/>
      <c r="D7" s="3"/>
    </row>
    <row r="8" spans="1:4" x14ac:dyDescent="0.35">
      <c r="A8" s="223" t="s">
        <v>4</v>
      </c>
      <c r="B8" s="223"/>
      <c r="C8" s="223"/>
      <c r="D8" s="223"/>
    </row>
    <row r="9" spans="1:4" x14ac:dyDescent="0.35">
      <c r="A9" s="224" t="s">
        <v>70</v>
      </c>
      <c r="B9" s="225"/>
      <c r="C9" s="225"/>
      <c r="D9" s="226"/>
    </row>
    <row r="10" spans="1:4" x14ac:dyDescent="0.35">
      <c r="A10" s="227" t="s">
        <v>5</v>
      </c>
      <c r="B10" s="228"/>
      <c r="C10" s="90" t="s">
        <v>6</v>
      </c>
      <c r="D10" s="90" t="s">
        <v>7</v>
      </c>
    </row>
    <row r="11" spans="1:4" ht="40.5" customHeight="1" x14ac:dyDescent="0.35">
      <c r="A11" s="176" t="s">
        <v>8</v>
      </c>
      <c r="B11" s="178"/>
      <c r="C11" s="91" t="s">
        <v>60</v>
      </c>
      <c r="D11" s="4">
        <f>'Salario Base'!C16</f>
        <v>2274.1</v>
      </c>
    </row>
    <row r="12" spans="1:4" ht="15" customHeight="1" x14ac:dyDescent="0.35">
      <c r="A12" s="229" t="s">
        <v>66</v>
      </c>
      <c r="B12" s="230"/>
      <c r="C12" s="53"/>
      <c r="D12" s="42">
        <f>C12*D11/100</f>
        <v>0</v>
      </c>
    </row>
    <row r="13" spans="1:4" x14ac:dyDescent="0.35">
      <c r="A13" s="217" t="s">
        <v>20</v>
      </c>
      <c r="B13" s="217"/>
      <c r="C13" s="217"/>
      <c r="D13" s="29">
        <f>ROUND(SUM(D11:D12),2)</f>
        <v>2274.1</v>
      </c>
    </row>
    <row r="14" spans="1:4" x14ac:dyDescent="0.35">
      <c r="A14" s="3"/>
      <c r="B14" s="3"/>
      <c r="C14" s="3"/>
      <c r="D14" s="3"/>
    </row>
    <row r="15" spans="1:4" x14ac:dyDescent="0.35">
      <c r="A15" s="202" t="s">
        <v>71</v>
      </c>
      <c r="B15" s="202"/>
      <c r="C15" s="202"/>
      <c r="D15" s="202"/>
    </row>
    <row r="16" spans="1:4" x14ac:dyDescent="0.35">
      <c r="A16" s="202" t="s">
        <v>10</v>
      </c>
      <c r="B16" s="202"/>
      <c r="C16" s="90" t="s">
        <v>6</v>
      </c>
      <c r="D16" s="90" t="s">
        <v>7</v>
      </c>
    </row>
    <row r="17" spans="1:4" x14ac:dyDescent="0.35">
      <c r="A17" s="176" t="s">
        <v>11</v>
      </c>
      <c r="B17" s="178"/>
      <c r="C17" s="11">
        <v>0.2</v>
      </c>
      <c r="D17" s="5">
        <f>ROUND($D$13*C17,2)</f>
        <v>454.82</v>
      </c>
    </row>
    <row r="18" spans="1:4" x14ac:dyDescent="0.35">
      <c r="A18" s="196" t="s">
        <v>12</v>
      </c>
      <c r="B18" s="197"/>
      <c r="C18" s="52">
        <v>0.08</v>
      </c>
      <c r="D18" s="42">
        <f t="shared" ref="D18:D24" si="0">ROUND($D$13*C18,2)</f>
        <v>181.93</v>
      </c>
    </row>
    <row r="19" spans="1:4" x14ac:dyDescent="0.35">
      <c r="A19" s="176" t="s">
        <v>13</v>
      </c>
      <c r="B19" s="178"/>
      <c r="C19" s="11">
        <v>1.4999999999999999E-2</v>
      </c>
      <c r="D19" s="5">
        <f t="shared" si="0"/>
        <v>34.11</v>
      </c>
    </row>
    <row r="20" spans="1:4" ht="25.5" customHeight="1" x14ac:dyDescent="0.35">
      <c r="A20" s="196" t="s">
        <v>14</v>
      </c>
      <c r="B20" s="197"/>
      <c r="C20" s="52">
        <v>0.01</v>
      </c>
      <c r="D20" s="42">
        <f t="shared" si="0"/>
        <v>22.74</v>
      </c>
    </row>
    <row r="21" spans="1:4" ht="28.5" customHeight="1" x14ac:dyDescent="0.35">
      <c r="A21" s="176" t="s">
        <v>15</v>
      </c>
      <c r="B21" s="178"/>
      <c r="C21" s="11">
        <v>2E-3</v>
      </c>
      <c r="D21" s="5">
        <f t="shared" si="0"/>
        <v>4.55</v>
      </c>
    </row>
    <row r="22" spans="1:4" x14ac:dyDescent="0.35">
      <c r="A22" s="196" t="s">
        <v>16</v>
      </c>
      <c r="B22" s="197"/>
      <c r="C22" s="52">
        <v>6.0000000000000001E-3</v>
      </c>
      <c r="D22" s="42">
        <f t="shared" si="0"/>
        <v>13.64</v>
      </c>
    </row>
    <row r="23" spans="1:4" x14ac:dyDescent="0.35">
      <c r="A23" s="212" t="s">
        <v>17</v>
      </c>
      <c r="B23" s="213"/>
      <c r="C23" s="11">
        <v>2.5000000000000001E-2</v>
      </c>
      <c r="D23" s="5">
        <f t="shared" si="0"/>
        <v>56.85</v>
      </c>
    </row>
    <row r="24" spans="1:4" ht="39.75" customHeight="1" x14ac:dyDescent="0.35">
      <c r="A24" s="229" t="s">
        <v>18</v>
      </c>
      <c r="B24" s="230"/>
      <c r="C24" s="50">
        <v>0.04</v>
      </c>
      <c r="D24" s="42">
        <f t="shared" si="0"/>
        <v>90.96</v>
      </c>
    </row>
    <row r="25" spans="1:4" x14ac:dyDescent="0.35">
      <c r="A25" s="198" t="s">
        <v>19</v>
      </c>
      <c r="B25" s="199"/>
      <c r="C25" s="30">
        <f>ROUND(SUM(C17:C24),5)</f>
        <v>0.378</v>
      </c>
      <c r="D25" s="29">
        <f>ROUND(SUM(D17:D24),2)</f>
        <v>859.6</v>
      </c>
    </row>
    <row r="26" spans="1:4" x14ac:dyDescent="0.35">
      <c r="A26" s="20"/>
      <c r="B26" s="20"/>
      <c r="C26" s="6"/>
      <c r="D26" s="7"/>
    </row>
    <row r="27" spans="1:4" x14ac:dyDescent="0.35">
      <c r="A27" s="202" t="s">
        <v>21</v>
      </c>
      <c r="B27" s="202"/>
      <c r="C27" s="90" t="s">
        <v>6</v>
      </c>
      <c r="D27" s="90" t="s">
        <v>7</v>
      </c>
    </row>
    <row r="28" spans="1:4" ht="25" customHeight="1" x14ac:dyDescent="0.35">
      <c r="A28" s="212" t="s">
        <v>22</v>
      </c>
      <c r="B28" s="213"/>
      <c r="C28" s="9">
        <f>ROUND(1/12,5)</f>
        <v>8.3330000000000001E-2</v>
      </c>
      <c r="D28" s="5">
        <f>ROUND($D$13*C28,2)</f>
        <v>189.5</v>
      </c>
    </row>
    <row r="29" spans="1:4" ht="25" customHeight="1" x14ac:dyDescent="0.35">
      <c r="A29" s="196" t="s">
        <v>263</v>
      </c>
      <c r="B29" s="197"/>
      <c r="C29" s="51">
        <f>ROUND((1/3)/12,5)</f>
        <v>2.7779999999999999E-2</v>
      </c>
      <c r="D29" s="42">
        <f t="shared" ref="D29:D36" si="1">ROUND($D$13*C29,2)</f>
        <v>63.17</v>
      </c>
    </row>
    <row r="30" spans="1:4" ht="25" customHeight="1" x14ac:dyDescent="0.35">
      <c r="A30" s="176" t="s">
        <v>23</v>
      </c>
      <c r="B30" s="178"/>
      <c r="C30" s="10">
        <f>ROUND((((100% / 30) * 7) / 12),5)</f>
        <v>1.9439999999999999E-2</v>
      </c>
      <c r="D30" s="5">
        <f t="shared" si="1"/>
        <v>44.21</v>
      </c>
    </row>
    <row r="31" spans="1:4" ht="25" customHeight="1" x14ac:dyDescent="0.35">
      <c r="A31" s="196" t="s">
        <v>24</v>
      </c>
      <c r="B31" s="197"/>
      <c r="C31" s="51">
        <f>ROUND((5/30)/12,5)</f>
        <v>1.389E-2</v>
      </c>
      <c r="D31" s="42">
        <f t="shared" si="1"/>
        <v>31.59</v>
      </c>
    </row>
    <row r="32" spans="1:4" ht="25" customHeight="1" x14ac:dyDescent="0.35">
      <c r="A32" s="176" t="s">
        <v>25</v>
      </c>
      <c r="B32" s="178"/>
      <c r="C32" s="10">
        <f>ROUND(((15/30/12)*0.08),5)</f>
        <v>3.3300000000000001E-3</v>
      </c>
      <c r="D32" s="5">
        <f t="shared" si="1"/>
        <v>7.57</v>
      </c>
    </row>
    <row r="33" spans="1:4" ht="25" customHeight="1" x14ac:dyDescent="0.35">
      <c r="A33" s="196" t="s">
        <v>26</v>
      </c>
      <c r="B33" s="197"/>
      <c r="C33" s="51">
        <f>ROUND((1/30)/12,5)</f>
        <v>2.7799999999999999E-3</v>
      </c>
      <c r="D33" s="42">
        <f t="shared" si="1"/>
        <v>6.32</v>
      </c>
    </row>
    <row r="34" spans="1:4" ht="25" customHeight="1" x14ac:dyDescent="0.35">
      <c r="A34" s="176" t="s">
        <v>27</v>
      </c>
      <c r="B34" s="178"/>
      <c r="C34" s="10">
        <f>ROUND(0.1111*0.02*0.333,5)</f>
        <v>7.3999999999999999E-4</v>
      </c>
      <c r="D34" s="5">
        <f t="shared" si="1"/>
        <v>1.68</v>
      </c>
    </row>
    <row r="35" spans="1:4" ht="25" customHeight="1" x14ac:dyDescent="0.35">
      <c r="A35" s="196" t="s">
        <v>28</v>
      </c>
      <c r="B35" s="197"/>
      <c r="C35" s="51">
        <f>ROUND(((5/30)/12)*0.015,5)</f>
        <v>2.1000000000000001E-4</v>
      </c>
      <c r="D35" s="42">
        <f t="shared" si="1"/>
        <v>0.48</v>
      </c>
    </row>
    <row r="36" spans="1:4" ht="25" customHeight="1" x14ac:dyDescent="0.35">
      <c r="A36" s="176" t="s">
        <v>264</v>
      </c>
      <c r="B36" s="178"/>
      <c r="C36" s="10">
        <f>ROUND(1/12,5)</f>
        <v>8.3330000000000001E-2</v>
      </c>
      <c r="D36" s="5">
        <f t="shared" si="1"/>
        <v>189.5</v>
      </c>
    </row>
    <row r="37" spans="1:4" x14ac:dyDescent="0.35">
      <c r="A37" s="198" t="s">
        <v>29</v>
      </c>
      <c r="B37" s="199"/>
      <c r="C37" s="30">
        <f>ROUND(SUM(C28:C36),5)</f>
        <v>0.23483000000000001</v>
      </c>
      <c r="D37" s="29">
        <f>ROUND(SUM(D28:D36),2)</f>
        <v>534.02</v>
      </c>
    </row>
    <row r="38" spans="1:4" x14ac:dyDescent="0.35">
      <c r="A38" s="20"/>
      <c r="B38" s="20"/>
      <c r="C38" s="8"/>
      <c r="D38" s="7"/>
    </row>
    <row r="39" spans="1:4" x14ac:dyDescent="0.35">
      <c r="A39" s="207" t="s">
        <v>30</v>
      </c>
      <c r="B39" s="208"/>
      <c r="C39" s="90" t="s">
        <v>6</v>
      </c>
      <c r="D39" s="90" t="s">
        <v>7</v>
      </c>
    </row>
    <row r="40" spans="1:4" ht="25" customHeight="1" x14ac:dyDescent="0.35">
      <c r="A40" s="210" t="s">
        <v>31</v>
      </c>
      <c r="B40" s="211"/>
      <c r="C40" s="12">
        <f>ROUND(1/12*5%,5)</f>
        <v>4.1700000000000001E-3</v>
      </c>
      <c r="D40" s="54">
        <f>ROUND($D$13*C40,2)</f>
        <v>9.48</v>
      </c>
    </row>
    <row r="41" spans="1:4" ht="25" customHeight="1" x14ac:dyDescent="0.35">
      <c r="A41" s="196" t="s">
        <v>32</v>
      </c>
      <c r="B41" s="197"/>
      <c r="C41" s="50">
        <f>ROUND(0.02*(1/12),5)</f>
        <v>1.67E-3</v>
      </c>
      <c r="D41" s="42">
        <f>ROUND($D$13*C41,2)</f>
        <v>3.8</v>
      </c>
    </row>
    <row r="42" spans="1:4" ht="25" customHeight="1" x14ac:dyDescent="0.35">
      <c r="A42" s="210" t="s">
        <v>33</v>
      </c>
      <c r="B42" s="211"/>
      <c r="C42" s="15">
        <f>ROUND(40%*8%,5)</f>
        <v>3.2000000000000001E-2</v>
      </c>
      <c r="D42" s="54">
        <f>ROUND($D$13*C42,2)</f>
        <v>72.77</v>
      </c>
    </row>
    <row r="43" spans="1:4" x14ac:dyDescent="0.35">
      <c r="A43" s="198" t="s">
        <v>34</v>
      </c>
      <c r="B43" s="199"/>
      <c r="C43" s="30">
        <f>ROUND(SUM(C40:C42),5)</f>
        <v>3.7839999999999999E-2</v>
      </c>
      <c r="D43" s="29">
        <f>ROUND(SUM(D40:D42),2)</f>
        <v>86.05</v>
      </c>
    </row>
    <row r="44" spans="1:4" x14ac:dyDescent="0.35">
      <c r="A44" s="20"/>
      <c r="B44" s="20"/>
      <c r="C44" s="8"/>
      <c r="D44" s="7"/>
    </row>
    <row r="45" spans="1:4" x14ac:dyDescent="0.35">
      <c r="A45" s="207" t="s">
        <v>35</v>
      </c>
      <c r="B45" s="208"/>
      <c r="C45" s="90" t="s">
        <v>6</v>
      </c>
      <c r="D45" s="90" t="s">
        <v>7</v>
      </c>
    </row>
    <row r="46" spans="1:4" ht="29" customHeight="1" x14ac:dyDescent="0.35">
      <c r="A46" s="176" t="s">
        <v>36</v>
      </c>
      <c r="B46" s="178"/>
      <c r="C46" s="14">
        <f>ROUND(C25*C37,5)</f>
        <v>8.8770000000000002E-2</v>
      </c>
      <c r="D46" s="5">
        <f>ROUND($D$13*C46,2)</f>
        <v>201.87</v>
      </c>
    </row>
    <row r="47" spans="1:4" x14ac:dyDescent="0.35">
      <c r="A47" s="198" t="s">
        <v>37</v>
      </c>
      <c r="B47" s="199"/>
      <c r="C47" s="30">
        <f>ROUND(SUM(C46),5)</f>
        <v>8.8770000000000002E-2</v>
      </c>
      <c r="D47" s="29">
        <f>ROUND(SUM(D46),2)</f>
        <v>201.87</v>
      </c>
    </row>
    <row r="48" spans="1:4" x14ac:dyDescent="0.35">
      <c r="A48" s="20"/>
      <c r="B48" s="20"/>
      <c r="C48" s="8"/>
      <c r="D48" s="7"/>
    </row>
    <row r="49" spans="1:4" x14ac:dyDescent="0.35">
      <c r="A49" s="207" t="s">
        <v>38</v>
      </c>
      <c r="B49" s="208"/>
      <c r="C49" s="90" t="s">
        <v>6</v>
      </c>
      <c r="D49" s="90" t="s">
        <v>7</v>
      </c>
    </row>
    <row r="50" spans="1:4" ht="65.5" customHeight="1" x14ac:dyDescent="0.35">
      <c r="A50" s="176" t="s">
        <v>39</v>
      </c>
      <c r="B50" s="178"/>
      <c r="C50" s="15">
        <f>ROUND(8%*C40,5)</f>
        <v>3.3E-4</v>
      </c>
      <c r="D50" s="5">
        <f>ROUND($D$13*C50,2)</f>
        <v>0.75</v>
      </c>
    </row>
    <row r="51" spans="1:4" x14ac:dyDescent="0.35">
      <c r="A51" s="198" t="s">
        <v>40</v>
      </c>
      <c r="B51" s="199"/>
      <c r="C51" s="30">
        <f>ROUND(SUM(C50:C50),5)</f>
        <v>3.3E-4</v>
      </c>
      <c r="D51" s="29">
        <f>ROUND(SUM(D50:D50),2)</f>
        <v>0.75</v>
      </c>
    </row>
    <row r="52" spans="1:4" x14ac:dyDescent="0.35">
      <c r="A52" s="20"/>
      <c r="B52" s="20"/>
      <c r="C52" s="8"/>
      <c r="D52" s="7"/>
    </row>
    <row r="53" spans="1:4" x14ac:dyDescent="0.35">
      <c r="A53" s="207" t="s">
        <v>41</v>
      </c>
      <c r="B53" s="208"/>
      <c r="C53" s="90" t="s">
        <v>6</v>
      </c>
      <c r="D53" s="90" t="s">
        <v>7</v>
      </c>
    </row>
    <row r="54" spans="1:4" ht="119" customHeight="1" x14ac:dyDescent="0.35">
      <c r="A54" s="176" t="s">
        <v>42</v>
      </c>
      <c r="B54" s="178"/>
      <c r="C54" s="14">
        <f>ROUND(C25*(13/12)*(4/12)*2/100,5)</f>
        <v>2.7299999999999998E-3</v>
      </c>
      <c r="D54" s="5">
        <f>ROUND($D$13*C54,2)</f>
        <v>6.21</v>
      </c>
    </row>
    <row r="55" spans="1:4" x14ac:dyDescent="0.35">
      <c r="A55" s="198" t="s">
        <v>43</v>
      </c>
      <c r="B55" s="199"/>
      <c r="C55" s="30">
        <f>ROUND(SUM(C54),5)</f>
        <v>2.7299999999999998E-3</v>
      </c>
      <c r="D55" s="29">
        <f>ROUND(SUM(D54),2)</f>
        <v>6.21</v>
      </c>
    </row>
    <row r="56" spans="1:4" x14ac:dyDescent="0.35">
      <c r="A56" s="198" t="s">
        <v>44</v>
      </c>
      <c r="B56" s="199"/>
      <c r="C56" s="30">
        <f>ROUND(C25+C37+C43+C47+C51+C55,5)</f>
        <v>0.74250000000000005</v>
      </c>
      <c r="D56" s="29">
        <f>ROUND(D25+D37+D43+D47+D51+D55,2)</f>
        <v>1688.5</v>
      </c>
    </row>
    <row r="57" spans="1:4" ht="15" customHeight="1" x14ac:dyDescent="0.35">
      <c r="A57" s="20"/>
      <c r="B57" s="20"/>
      <c r="C57" s="8"/>
      <c r="D57" s="7"/>
    </row>
    <row r="58" spans="1:4" ht="15" customHeight="1" x14ac:dyDescent="0.35">
      <c r="A58" s="198" t="s">
        <v>45</v>
      </c>
      <c r="B58" s="200"/>
      <c r="C58" s="199"/>
      <c r="D58" s="29">
        <f>D13+D56</f>
        <v>3962.6</v>
      </c>
    </row>
    <row r="59" spans="1:4" ht="15" customHeight="1" x14ac:dyDescent="0.35">
      <c r="A59" s="3"/>
      <c r="B59" s="3"/>
      <c r="C59" s="3"/>
      <c r="D59" s="3"/>
    </row>
    <row r="60" spans="1:4" ht="15" customHeight="1" x14ac:dyDescent="0.35">
      <c r="A60" s="202" t="s">
        <v>72</v>
      </c>
      <c r="B60" s="202"/>
      <c r="C60" s="202"/>
      <c r="D60" s="202"/>
    </row>
    <row r="61" spans="1:4" x14ac:dyDescent="0.35">
      <c r="A61" s="202" t="s">
        <v>46</v>
      </c>
      <c r="B61" s="202"/>
      <c r="C61" s="90" t="s">
        <v>218</v>
      </c>
      <c r="D61" s="92" t="s">
        <v>7</v>
      </c>
    </row>
    <row r="62" spans="1:4" ht="96" customHeight="1" x14ac:dyDescent="0.35">
      <c r="A62" s="206" t="s">
        <v>91</v>
      </c>
      <c r="B62" s="206"/>
      <c r="C62" s="33">
        <v>15</v>
      </c>
      <c r="D62" s="33">
        <f>ROUND(C62*22,2)</f>
        <v>330</v>
      </c>
    </row>
    <row r="63" spans="1:4" ht="53.5" customHeight="1" x14ac:dyDescent="0.35">
      <c r="A63" s="209" t="s">
        <v>92</v>
      </c>
      <c r="B63" s="209"/>
      <c r="C63" s="101">
        <v>0.1</v>
      </c>
      <c r="D63" s="49">
        <f>ROUND(D62*C63,2)*-1</f>
        <v>-33</v>
      </c>
    </row>
    <row r="64" spans="1:4" ht="29.5" customHeight="1" x14ac:dyDescent="0.35">
      <c r="A64" s="206" t="s">
        <v>78</v>
      </c>
      <c r="B64" s="206"/>
      <c r="C64" s="33">
        <v>100</v>
      </c>
      <c r="D64" s="33">
        <f>C64</f>
        <v>100</v>
      </c>
    </row>
    <row r="65" spans="1:4" ht="102.5" customHeight="1" x14ac:dyDescent="0.35">
      <c r="A65" s="205" t="s">
        <v>93</v>
      </c>
      <c r="B65" s="205"/>
      <c r="C65" s="102">
        <v>3.8</v>
      </c>
      <c r="D65" s="47">
        <f>ROUND(C65*2*22,2)</f>
        <v>167.2</v>
      </c>
    </row>
    <row r="66" spans="1:4" ht="62" customHeight="1" x14ac:dyDescent="0.35">
      <c r="A66" s="204" t="s">
        <v>94</v>
      </c>
      <c r="B66" s="204"/>
      <c r="C66" s="103">
        <v>0.06</v>
      </c>
      <c r="D66" s="34">
        <f>IF(D11*C66&gt;D65,"-",ROUND(D11*C66,2)*-1)</f>
        <v>-136.44999999999999</v>
      </c>
    </row>
    <row r="67" spans="1:4" ht="29.5" customHeight="1" x14ac:dyDescent="0.35">
      <c r="A67" s="205" t="s">
        <v>79</v>
      </c>
      <c r="B67" s="205"/>
      <c r="C67" s="102">
        <v>15</v>
      </c>
      <c r="D67" s="47">
        <f>C67</f>
        <v>15</v>
      </c>
    </row>
    <row r="68" spans="1:4" ht="44.5" customHeight="1" x14ac:dyDescent="0.35">
      <c r="A68" s="206" t="s">
        <v>219</v>
      </c>
      <c r="B68" s="206"/>
      <c r="C68" s="104">
        <v>10</v>
      </c>
      <c r="D68" s="33">
        <f>C68</f>
        <v>10</v>
      </c>
    </row>
    <row r="69" spans="1:4" ht="29.5" customHeight="1" x14ac:dyDescent="0.35">
      <c r="A69" s="205" t="s">
        <v>95</v>
      </c>
      <c r="B69" s="205"/>
      <c r="C69" s="102">
        <v>10</v>
      </c>
      <c r="D69" s="47">
        <f>C69</f>
        <v>10</v>
      </c>
    </row>
    <row r="70" spans="1:4" ht="25.5" customHeight="1" x14ac:dyDescent="0.35">
      <c r="A70" s="206" t="s">
        <v>47</v>
      </c>
      <c r="B70" s="206"/>
      <c r="C70" s="60" t="s">
        <v>60</v>
      </c>
      <c r="D70" s="33">
        <f>'Uniforme Tipo I'!F13</f>
        <v>82.32</v>
      </c>
    </row>
    <row r="71" spans="1:4" ht="25.5" customHeight="1" x14ac:dyDescent="0.35">
      <c r="A71" s="233" t="s">
        <v>265</v>
      </c>
      <c r="B71" s="234"/>
      <c r="C71" s="61" t="s">
        <v>60</v>
      </c>
      <c r="D71" s="45">
        <f>'Manutenção Equip.'!F7</f>
        <v>22.3</v>
      </c>
    </row>
    <row r="72" spans="1:4" ht="15" customHeight="1" x14ac:dyDescent="0.35">
      <c r="A72" s="217" t="s">
        <v>48</v>
      </c>
      <c r="B72" s="217"/>
      <c r="C72" s="217"/>
      <c r="D72" s="29">
        <f>ROUND(SUM(D62:D70),2)</f>
        <v>545.07000000000005</v>
      </c>
    </row>
    <row r="73" spans="1:4" x14ac:dyDescent="0.35">
      <c r="A73" s="20"/>
      <c r="B73" s="20"/>
      <c r="C73" s="20"/>
      <c r="D73" s="7"/>
    </row>
    <row r="74" spans="1:4" ht="30" customHeight="1" x14ac:dyDescent="0.35">
      <c r="A74" s="198" t="s">
        <v>49</v>
      </c>
      <c r="B74" s="200"/>
      <c r="C74" s="199"/>
      <c r="D74" s="29">
        <f>ROUND(D58+D72,2)</f>
        <v>4507.67</v>
      </c>
    </row>
    <row r="75" spans="1:4" x14ac:dyDescent="0.35">
      <c r="A75" s="20"/>
      <c r="B75" s="20"/>
      <c r="C75" s="20"/>
      <c r="D75" s="7"/>
    </row>
    <row r="76" spans="1:4" x14ac:dyDescent="0.35">
      <c r="A76" s="202" t="s">
        <v>88</v>
      </c>
      <c r="B76" s="202"/>
      <c r="C76" s="202"/>
      <c r="D76" s="202"/>
    </row>
    <row r="77" spans="1:4" x14ac:dyDescent="0.35">
      <c r="A77" s="207" t="s">
        <v>50</v>
      </c>
      <c r="B77" s="208"/>
      <c r="C77" s="90" t="s">
        <v>6</v>
      </c>
      <c r="D77" s="90" t="s">
        <v>7</v>
      </c>
    </row>
    <row r="78" spans="1:4" s="1" customFormat="1" ht="30" customHeight="1" x14ac:dyDescent="0.3">
      <c r="A78" s="176" t="s">
        <v>51</v>
      </c>
      <c r="B78" s="178"/>
      <c r="C78" s="13">
        <v>0.05</v>
      </c>
      <c r="D78" s="18">
        <f>ROUND(D74*C78,2)</f>
        <v>225.38</v>
      </c>
    </row>
    <row r="79" spans="1:4" s="1" customFormat="1" ht="30" customHeight="1" x14ac:dyDescent="0.3">
      <c r="A79" s="196" t="s">
        <v>9</v>
      </c>
      <c r="B79" s="197"/>
      <c r="C79" s="41">
        <v>0.1</v>
      </c>
      <c r="D79" s="44">
        <f>ROUND(D74*C79,2)</f>
        <v>450.77</v>
      </c>
    </row>
    <row r="80" spans="1:4" x14ac:dyDescent="0.35">
      <c r="A80" s="198" t="s">
        <v>52</v>
      </c>
      <c r="B80" s="199"/>
      <c r="C80" s="31">
        <f>ROUND(SUM(C78:C79),5)</f>
        <v>0.15</v>
      </c>
      <c r="D80" s="29">
        <f>SUM(D78:D79)</f>
        <v>676.15</v>
      </c>
    </row>
    <row r="81" spans="1:4" x14ac:dyDescent="0.35">
      <c r="A81" s="20"/>
      <c r="B81" s="20"/>
      <c r="C81" s="6"/>
      <c r="D81" s="7"/>
    </row>
    <row r="82" spans="1:4" ht="30" customHeight="1" x14ac:dyDescent="0.35">
      <c r="A82" s="198" t="s">
        <v>73</v>
      </c>
      <c r="B82" s="200"/>
      <c r="C82" s="199"/>
      <c r="D82" s="29">
        <f>ROUND(D74+D80,2)</f>
        <v>5183.82</v>
      </c>
    </row>
    <row r="83" spans="1:4" x14ac:dyDescent="0.35">
      <c r="A83" s="20"/>
      <c r="B83" s="20"/>
      <c r="C83" s="20"/>
      <c r="D83" s="7"/>
    </row>
    <row r="84" spans="1:4" ht="35.25" customHeight="1" x14ac:dyDescent="0.35">
      <c r="A84" s="235" t="s">
        <v>63</v>
      </c>
      <c r="B84" s="235"/>
      <c r="C84" s="30">
        <f>ROUND(1-(SUM(C87:C89)/1),5)</f>
        <v>0.91349999999999998</v>
      </c>
      <c r="D84" s="29">
        <f>ROUND(D82/C84,2)</f>
        <v>5674.68</v>
      </c>
    </row>
    <row r="85" spans="1:4" x14ac:dyDescent="0.35">
      <c r="A85" s="3"/>
      <c r="B85" s="3"/>
      <c r="C85" s="3"/>
      <c r="D85" s="3"/>
    </row>
    <row r="86" spans="1:4" x14ac:dyDescent="0.35">
      <c r="A86" s="207" t="s">
        <v>53</v>
      </c>
      <c r="B86" s="208"/>
      <c r="C86" s="90" t="s">
        <v>6</v>
      </c>
      <c r="D86" s="90" t="s">
        <v>7</v>
      </c>
    </row>
    <row r="87" spans="1:4" ht="22" customHeight="1" x14ac:dyDescent="0.35">
      <c r="A87" s="176" t="s">
        <v>54</v>
      </c>
      <c r="B87" s="178"/>
      <c r="C87" s="13">
        <v>0.05</v>
      </c>
      <c r="D87" s="5">
        <f>ROUND($D$84*C87,2)</f>
        <v>283.73</v>
      </c>
    </row>
    <row r="88" spans="1:4" ht="22" customHeight="1" x14ac:dyDescent="0.35">
      <c r="A88" s="196" t="s">
        <v>55</v>
      </c>
      <c r="B88" s="197"/>
      <c r="C88" s="41">
        <v>0.03</v>
      </c>
      <c r="D88" s="42">
        <f>ROUND($D$84*C88,2)</f>
        <v>170.24</v>
      </c>
    </row>
    <row r="89" spans="1:4" ht="22" customHeight="1" x14ac:dyDescent="0.35">
      <c r="A89" s="176" t="s">
        <v>56</v>
      </c>
      <c r="B89" s="178"/>
      <c r="C89" s="13">
        <v>6.4999999999999997E-3</v>
      </c>
      <c r="D89" s="5">
        <f>ROUND($D$84*C89,2)</f>
        <v>36.89</v>
      </c>
    </row>
    <row r="90" spans="1:4" x14ac:dyDescent="0.35">
      <c r="A90" s="198" t="s">
        <v>57</v>
      </c>
      <c r="B90" s="199"/>
      <c r="C90" s="30">
        <f>ROUND(SUM(C87:C89),5)</f>
        <v>8.6499999999999994E-2</v>
      </c>
      <c r="D90" s="29">
        <f>ROUND(SUM(D87:D89),2)</f>
        <v>490.86</v>
      </c>
    </row>
    <row r="91" spans="1:4" ht="10" customHeight="1" x14ac:dyDescent="0.35">
      <c r="A91" s="3"/>
      <c r="B91" s="3"/>
      <c r="C91" s="3"/>
      <c r="D91" s="3"/>
    </row>
    <row r="92" spans="1:4" ht="25" customHeight="1" x14ac:dyDescent="0.35">
      <c r="A92" s="198" t="s">
        <v>58</v>
      </c>
      <c r="B92" s="200"/>
      <c r="C92" s="199"/>
      <c r="D92" s="29">
        <f>ROUND(D82+D90,2)</f>
        <v>5674.68</v>
      </c>
    </row>
    <row r="93" spans="1:4" ht="25" customHeight="1" x14ac:dyDescent="0.35">
      <c r="A93" s="198" t="s">
        <v>64</v>
      </c>
      <c r="B93" s="200"/>
      <c r="C93" s="199"/>
      <c r="D93" s="29">
        <f>ROUND(D92*12,2)</f>
        <v>68096.160000000003</v>
      </c>
    </row>
    <row r="94" spans="1:4" ht="10" customHeight="1" x14ac:dyDescent="0.35">
      <c r="A94" s="20"/>
      <c r="B94" s="20"/>
      <c r="C94" s="20"/>
      <c r="D94" s="7"/>
    </row>
    <row r="95" spans="1:4" ht="15" customHeight="1" x14ac:dyDescent="0.35">
      <c r="A95" s="202" t="s">
        <v>59</v>
      </c>
      <c r="B95" s="202"/>
      <c r="C95" s="202"/>
      <c r="D95" s="27" t="s">
        <v>6</v>
      </c>
    </row>
    <row r="96" spans="1:4" ht="15" customHeight="1" x14ac:dyDescent="0.35">
      <c r="A96" s="201" t="s">
        <v>74</v>
      </c>
      <c r="B96" s="201"/>
      <c r="C96" s="201"/>
      <c r="D96" s="17">
        <f>C25</f>
        <v>0.378</v>
      </c>
    </row>
    <row r="97" spans="1:4" ht="15" customHeight="1" x14ac:dyDescent="0.35">
      <c r="A97" s="203" t="s">
        <v>29</v>
      </c>
      <c r="B97" s="203"/>
      <c r="C97" s="203"/>
      <c r="D97" s="43">
        <f>C37</f>
        <v>0.23483000000000001</v>
      </c>
    </row>
    <row r="98" spans="1:4" ht="15" customHeight="1" x14ac:dyDescent="0.35">
      <c r="A98" s="201" t="s">
        <v>34</v>
      </c>
      <c r="B98" s="201"/>
      <c r="C98" s="201"/>
      <c r="D98" s="17">
        <f>C43</f>
        <v>3.7839999999999999E-2</v>
      </c>
    </row>
    <row r="99" spans="1:4" ht="15" customHeight="1" x14ac:dyDescent="0.35">
      <c r="A99" s="203" t="s">
        <v>37</v>
      </c>
      <c r="B99" s="203"/>
      <c r="C99" s="203"/>
      <c r="D99" s="43">
        <f>C47</f>
        <v>8.8770000000000002E-2</v>
      </c>
    </row>
    <row r="100" spans="1:4" ht="15" customHeight="1" x14ac:dyDescent="0.35">
      <c r="A100" s="201" t="s">
        <v>40</v>
      </c>
      <c r="B100" s="201"/>
      <c r="C100" s="201"/>
      <c r="D100" s="17">
        <f>C51</f>
        <v>3.3E-4</v>
      </c>
    </row>
    <row r="101" spans="1:4" ht="15" customHeight="1" x14ac:dyDescent="0.35">
      <c r="A101" s="203" t="s">
        <v>43</v>
      </c>
      <c r="B101" s="203"/>
      <c r="C101" s="203"/>
      <c r="D101" s="43">
        <f>C55</f>
        <v>2.7299999999999998E-3</v>
      </c>
    </row>
    <row r="102" spans="1:4" ht="15" customHeight="1" x14ac:dyDescent="0.35">
      <c r="A102" s="236" t="s">
        <v>75</v>
      </c>
      <c r="B102" s="236"/>
      <c r="C102" s="236"/>
      <c r="D102" s="28">
        <f>ROUND(SUM(D96:D101),5)</f>
        <v>0.74250000000000005</v>
      </c>
    </row>
    <row r="103" spans="1:4" ht="10" customHeight="1" x14ac:dyDescent="0.35"/>
    <row r="104" spans="1:4" x14ac:dyDescent="0.35">
      <c r="A104" s="207" t="s">
        <v>268</v>
      </c>
      <c r="B104" s="208"/>
      <c r="C104" s="90" t="s">
        <v>269</v>
      </c>
      <c r="D104" s="27" t="s">
        <v>6</v>
      </c>
    </row>
    <row r="105" spans="1:4" x14ac:dyDescent="0.35">
      <c r="A105" s="212" t="s">
        <v>270</v>
      </c>
      <c r="B105" s="213"/>
      <c r="C105" s="110">
        <f>D13</f>
        <v>2274.1</v>
      </c>
      <c r="D105" s="17">
        <f>ROUND(C105/$C$109,5)</f>
        <v>0.40075</v>
      </c>
    </row>
    <row r="106" spans="1:4" ht="24.5" customHeight="1" x14ac:dyDescent="0.35">
      <c r="A106" s="229" t="s">
        <v>271</v>
      </c>
      <c r="B106" s="230"/>
      <c r="C106" s="111">
        <f>D56</f>
        <v>1688.5</v>
      </c>
      <c r="D106" s="43">
        <f>ROUND(C106/$C$109,5)</f>
        <v>0.29754999999999998</v>
      </c>
    </row>
    <row r="107" spans="1:4" x14ac:dyDescent="0.35">
      <c r="A107" s="212" t="s">
        <v>272</v>
      </c>
      <c r="B107" s="213"/>
      <c r="C107" s="110">
        <f>D72</f>
        <v>545.07000000000005</v>
      </c>
      <c r="D107" s="17">
        <f>ROUND(C107/$C$109,5)</f>
        <v>9.6049999999999996E-2</v>
      </c>
    </row>
    <row r="108" spans="1:4" x14ac:dyDescent="0.35">
      <c r="A108" s="229" t="s">
        <v>273</v>
      </c>
      <c r="B108" s="230"/>
      <c r="C108" s="111">
        <f>ROUND(D80+D90,2)</f>
        <v>1167.01</v>
      </c>
      <c r="D108" s="43">
        <f>ROUND(C108/$C$109,5)</f>
        <v>0.20565</v>
      </c>
    </row>
    <row r="109" spans="1:4" x14ac:dyDescent="0.35">
      <c r="A109" s="231" t="s">
        <v>274</v>
      </c>
      <c r="B109" s="232"/>
      <c r="C109" s="112">
        <f>ROUND(SUM(C105:C108),2)</f>
        <v>5674.68</v>
      </c>
      <c r="D109" s="30">
        <f>ROUND(SUM(D105:D108),5)</f>
        <v>1</v>
      </c>
    </row>
  </sheetData>
  <mergeCells count="92">
    <mergeCell ref="A104:B104"/>
    <mergeCell ref="A98:C98"/>
    <mergeCell ref="A99:C99"/>
    <mergeCell ref="A100:C100"/>
    <mergeCell ref="A101:C101"/>
    <mergeCell ref="A102:C102"/>
    <mergeCell ref="A105:B105"/>
    <mergeCell ref="A106:B106"/>
    <mergeCell ref="A107:B107"/>
    <mergeCell ref="A108:B108"/>
    <mergeCell ref="A109:B109"/>
    <mergeCell ref="A97:C97"/>
    <mergeCell ref="A80:B80"/>
    <mergeCell ref="A82:C82"/>
    <mergeCell ref="A84:B84"/>
    <mergeCell ref="A86:B86"/>
    <mergeCell ref="A90:B90"/>
    <mergeCell ref="A92:C92"/>
    <mergeCell ref="A93:C93"/>
    <mergeCell ref="A95:C95"/>
    <mergeCell ref="A96:C96"/>
    <mergeCell ref="A87:B87"/>
    <mergeCell ref="A88:B88"/>
    <mergeCell ref="A89:B89"/>
    <mergeCell ref="A74:C74"/>
    <mergeCell ref="A76:D76"/>
    <mergeCell ref="A77:B77"/>
    <mergeCell ref="A78:B78"/>
    <mergeCell ref="A79:B79"/>
    <mergeCell ref="A68:B68"/>
    <mergeCell ref="A69:B69"/>
    <mergeCell ref="A70:B70"/>
    <mergeCell ref="A71:B71"/>
    <mergeCell ref="A72:C72"/>
    <mergeCell ref="A58:C58"/>
    <mergeCell ref="A46:B46"/>
    <mergeCell ref="A47:B47"/>
    <mergeCell ref="A49:B49"/>
    <mergeCell ref="A67:B67"/>
    <mergeCell ref="A60:D60"/>
    <mergeCell ref="A61:B61"/>
    <mergeCell ref="A62:B62"/>
    <mergeCell ref="A63:B63"/>
    <mergeCell ref="A64:B64"/>
    <mergeCell ref="A65:B65"/>
    <mergeCell ref="A66:B66"/>
    <mergeCell ref="A51:B51"/>
    <mergeCell ref="A53:B53"/>
    <mergeCell ref="A54:B54"/>
    <mergeCell ref="A55:B55"/>
    <mergeCell ref="A56:B56"/>
    <mergeCell ref="A31:B31"/>
    <mergeCell ref="A32:B32"/>
    <mergeCell ref="A33:B33"/>
    <mergeCell ref="A50:B50"/>
    <mergeCell ref="A40:B40"/>
    <mergeCell ref="A41:B41"/>
    <mergeCell ref="A42:B42"/>
    <mergeCell ref="A43:B43"/>
    <mergeCell ref="A45:B45"/>
    <mergeCell ref="A34:B34"/>
    <mergeCell ref="A35:B35"/>
    <mergeCell ref="A36:B36"/>
    <mergeCell ref="A37:B37"/>
    <mergeCell ref="A39:B39"/>
    <mergeCell ref="A25:B25"/>
    <mergeCell ref="A27:B27"/>
    <mergeCell ref="A28:B28"/>
    <mergeCell ref="A29:B29"/>
    <mergeCell ref="A30:B30"/>
    <mergeCell ref="A23:B23"/>
    <mergeCell ref="A24:B24"/>
    <mergeCell ref="A13:C13"/>
    <mergeCell ref="A15:D15"/>
    <mergeCell ref="A16:B16"/>
    <mergeCell ref="A17:B17"/>
    <mergeCell ref="A18:B18"/>
    <mergeCell ref="B6:D6"/>
    <mergeCell ref="A19:B19"/>
    <mergeCell ref="A20:B20"/>
    <mergeCell ref="A21:B21"/>
    <mergeCell ref="A22:B22"/>
    <mergeCell ref="A8:D8"/>
    <mergeCell ref="A9:D9"/>
    <mergeCell ref="A10:B10"/>
    <mergeCell ref="A11:B11"/>
    <mergeCell ref="A12:B12"/>
    <mergeCell ref="A1:D1"/>
    <mergeCell ref="B2:D2"/>
    <mergeCell ref="B3:D3"/>
    <mergeCell ref="B4:D4"/>
    <mergeCell ref="B5:D5"/>
  </mergeCells>
  <pageMargins left="0.23622047244094491" right="0.23622047244094491" top="1.3385826771653544" bottom="0.74803149606299213" header="0.9055118110236221" footer="0.31496062992125984"/>
  <pageSetup fitToHeight="0" orientation="landscape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77389-B7A1-4C0D-B9AB-03A685526FBD}">
  <sheetPr codeName="Planilha16">
    <pageSetUpPr fitToPage="1"/>
  </sheetPr>
  <dimension ref="A1:D109"/>
  <sheetViews>
    <sheetView view="pageBreakPreview" zoomScaleNormal="100" zoomScaleSheetLayoutView="100" workbookViewId="0">
      <selection activeCell="H5" sqref="H5"/>
    </sheetView>
  </sheetViews>
  <sheetFormatPr defaultRowHeight="14.5" x14ac:dyDescent="0.35"/>
  <cols>
    <col min="1" max="1" width="33.453125" customWidth="1"/>
    <col min="2" max="2" width="14.54296875" customWidth="1"/>
    <col min="3" max="3" width="10.81640625" customWidth="1"/>
    <col min="4" max="4" width="12.26953125" customWidth="1"/>
  </cols>
  <sheetData>
    <row r="1" spans="1:4" ht="27.5" customHeight="1" x14ac:dyDescent="0.35">
      <c r="A1" s="218" t="s">
        <v>0</v>
      </c>
      <c r="B1" s="218"/>
      <c r="C1" s="218"/>
      <c r="D1" s="218"/>
    </row>
    <row r="2" spans="1:4" ht="30.5" customHeight="1" x14ac:dyDescent="0.35">
      <c r="A2" s="23" t="s">
        <v>2</v>
      </c>
      <c r="B2" s="214" t="str">
        <f>'Quantidade de Cargo'!A14</f>
        <v>Motorista</v>
      </c>
      <c r="C2" s="215"/>
      <c r="D2" s="216"/>
    </row>
    <row r="3" spans="1:4" ht="15" customHeight="1" x14ac:dyDescent="0.35">
      <c r="A3" s="23" t="s">
        <v>61</v>
      </c>
      <c r="B3" s="219" t="str">
        <f>'Salario Base'!B17</f>
        <v>7823-05</v>
      </c>
      <c r="C3" s="220"/>
      <c r="D3" s="221"/>
    </row>
    <row r="4" spans="1:4" ht="15" customHeight="1" x14ac:dyDescent="0.35">
      <c r="A4" s="24" t="s">
        <v>1</v>
      </c>
      <c r="B4" s="214" t="s">
        <v>143</v>
      </c>
      <c r="C4" s="215"/>
      <c r="D4" s="216"/>
    </row>
    <row r="5" spans="1:4" ht="26" x14ac:dyDescent="0.35">
      <c r="A5" s="24" t="s">
        <v>3</v>
      </c>
      <c r="B5" s="222">
        <v>1</v>
      </c>
      <c r="C5" s="220"/>
      <c r="D5" s="221"/>
    </row>
    <row r="6" spans="1:4" ht="65.5" customHeight="1" x14ac:dyDescent="0.35">
      <c r="A6" s="24" t="s">
        <v>62</v>
      </c>
      <c r="B6" s="214" t="s">
        <v>276</v>
      </c>
      <c r="C6" s="215"/>
      <c r="D6" s="216"/>
    </row>
    <row r="7" spans="1:4" ht="15" customHeight="1" x14ac:dyDescent="0.35">
      <c r="A7" s="2"/>
      <c r="B7" s="16"/>
      <c r="C7" s="3"/>
      <c r="D7" s="3"/>
    </row>
    <row r="8" spans="1:4" x14ac:dyDescent="0.35">
      <c r="A8" s="223" t="s">
        <v>4</v>
      </c>
      <c r="B8" s="223"/>
      <c r="C8" s="223"/>
      <c r="D8" s="223"/>
    </row>
    <row r="9" spans="1:4" x14ac:dyDescent="0.35">
      <c r="A9" s="224" t="s">
        <v>70</v>
      </c>
      <c r="B9" s="225"/>
      <c r="C9" s="225"/>
      <c r="D9" s="226"/>
    </row>
    <row r="10" spans="1:4" x14ac:dyDescent="0.35">
      <c r="A10" s="227" t="s">
        <v>5</v>
      </c>
      <c r="B10" s="228"/>
      <c r="C10" s="90" t="s">
        <v>6</v>
      </c>
      <c r="D10" s="90" t="s">
        <v>7</v>
      </c>
    </row>
    <row r="11" spans="1:4" ht="40.5" customHeight="1" x14ac:dyDescent="0.35">
      <c r="A11" s="176" t="s">
        <v>8</v>
      </c>
      <c r="B11" s="178"/>
      <c r="C11" s="91" t="s">
        <v>60</v>
      </c>
      <c r="D11" s="4">
        <f>'Salario Base'!F17</f>
        <v>1669.04</v>
      </c>
    </row>
    <row r="12" spans="1:4" ht="15" customHeight="1" x14ac:dyDescent="0.35">
      <c r="A12" s="229" t="s">
        <v>66</v>
      </c>
      <c r="B12" s="230"/>
      <c r="C12" s="53"/>
      <c r="D12" s="42">
        <f>C12*D11/100</f>
        <v>0</v>
      </c>
    </row>
    <row r="13" spans="1:4" x14ac:dyDescent="0.35">
      <c r="A13" s="217" t="s">
        <v>20</v>
      </c>
      <c r="B13" s="217"/>
      <c r="C13" s="217"/>
      <c r="D13" s="29">
        <f>ROUND(SUM(D11:D12),2)</f>
        <v>1669.04</v>
      </c>
    </row>
    <row r="14" spans="1:4" x14ac:dyDescent="0.35">
      <c r="A14" s="3"/>
      <c r="B14" s="3"/>
      <c r="C14" s="3"/>
      <c r="D14" s="3"/>
    </row>
    <row r="15" spans="1:4" x14ac:dyDescent="0.35">
      <c r="A15" s="202" t="s">
        <v>71</v>
      </c>
      <c r="B15" s="202"/>
      <c r="C15" s="202"/>
      <c r="D15" s="202"/>
    </row>
    <row r="16" spans="1:4" x14ac:dyDescent="0.35">
      <c r="A16" s="202" t="s">
        <v>10</v>
      </c>
      <c r="B16" s="202"/>
      <c r="C16" s="90" t="s">
        <v>6</v>
      </c>
      <c r="D16" s="90" t="s">
        <v>7</v>
      </c>
    </row>
    <row r="17" spans="1:4" x14ac:dyDescent="0.35">
      <c r="A17" s="176" t="s">
        <v>11</v>
      </c>
      <c r="B17" s="178"/>
      <c r="C17" s="11">
        <v>0.2</v>
      </c>
      <c r="D17" s="5">
        <f>ROUND($D$13*C17,2)</f>
        <v>333.81</v>
      </c>
    </row>
    <row r="18" spans="1:4" x14ac:dyDescent="0.35">
      <c r="A18" s="196" t="s">
        <v>12</v>
      </c>
      <c r="B18" s="197"/>
      <c r="C18" s="52">
        <v>0.08</v>
      </c>
      <c r="D18" s="42">
        <f t="shared" ref="D18:D24" si="0">ROUND($D$13*C18,2)</f>
        <v>133.52000000000001</v>
      </c>
    </row>
    <row r="19" spans="1:4" x14ac:dyDescent="0.35">
      <c r="A19" s="176" t="s">
        <v>13</v>
      </c>
      <c r="B19" s="178"/>
      <c r="C19" s="11">
        <v>1.4999999999999999E-2</v>
      </c>
      <c r="D19" s="5">
        <f t="shared" si="0"/>
        <v>25.04</v>
      </c>
    </row>
    <row r="20" spans="1:4" ht="25.5" customHeight="1" x14ac:dyDescent="0.35">
      <c r="A20" s="196" t="s">
        <v>14</v>
      </c>
      <c r="B20" s="197"/>
      <c r="C20" s="52">
        <v>0.01</v>
      </c>
      <c r="D20" s="42">
        <f t="shared" si="0"/>
        <v>16.690000000000001</v>
      </c>
    </row>
    <row r="21" spans="1:4" ht="28.5" customHeight="1" x14ac:dyDescent="0.35">
      <c r="A21" s="176" t="s">
        <v>15</v>
      </c>
      <c r="B21" s="178"/>
      <c r="C21" s="11">
        <v>2E-3</v>
      </c>
      <c r="D21" s="5">
        <f t="shared" si="0"/>
        <v>3.34</v>
      </c>
    </row>
    <row r="22" spans="1:4" x14ac:dyDescent="0.35">
      <c r="A22" s="196" t="s">
        <v>16</v>
      </c>
      <c r="B22" s="197"/>
      <c r="C22" s="52">
        <v>6.0000000000000001E-3</v>
      </c>
      <c r="D22" s="42">
        <f t="shared" si="0"/>
        <v>10.01</v>
      </c>
    </row>
    <row r="23" spans="1:4" x14ac:dyDescent="0.35">
      <c r="A23" s="212" t="s">
        <v>17</v>
      </c>
      <c r="B23" s="213"/>
      <c r="C23" s="11">
        <v>2.5000000000000001E-2</v>
      </c>
      <c r="D23" s="5">
        <f t="shared" si="0"/>
        <v>41.73</v>
      </c>
    </row>
    <row r="24" spans="1:4" ht="39.75" customHeight="1" x14ac:dyDescent="0.35">
      <c r="A24" s="229" t="s">
        <v>18</v>
      </c>
      <c r="B24" s="230"/>
      <c r="C24" s="50">
        <v>0.06</v>
      </c>
      <c r="D24" s="42">
        <f t="shared" si="0"/>
        <v>100.14</v>
      </c>
    </row>
    <row r="25" spans="1:4" x14ac:dyDescent="0.35">
      <c r="A25" s="198" t="s">
        <v>19</v>
      </c>
      <c r="B25" s="199"/>
      <c r="C25" s="30">
        <f>ROUND(SUM(C17:C24),5)</f>
        <v>0.39800000000000002</v>
      </c>
      <c r="D25" s="29">
        <f>ROUND(SUM(D17:D24),2)</f>
        <v>664.28</v>
      </c>
    </row>
    <row r="26" spans="1:4" x14ac:dyDescent="0.35">
      <c r="A26" s="20"/>
      <c r="B26" s="20"/>
      <c r="C26" s="6"/>
      <c r="D26" s="7"/>
    </row>
    <row r="27" spans="1:4" x14ac:dyDescent="0.35">
      <c r="A27" s="202" t="s">
        <v>21</v>
      </c>
      <c r="B27" s="202"/>
      <c r="C27" s="90" t="s">
        <v>6</v>
      </c>
      <c r="D27" s="90" t="s">
        <v>7</v>
      </c>
    </row>
    <row r="28" spans="1:4" ht="25" customHeight="1" x14ac:dyDescent="0.35">
      <c r="A28" s="212" t="s">
        <v>22</v>
      </c>
      <c r="B28" s="213"/>
      <c r="C28" s="9">
        <f>ROUND(1/12,5)</f>
        <v>8.3330000000000001E-2</v>
      </c>
      <c r="D28" s="5">
        <f>ROUND($D$13*C28,2)</f>
        <v>139.08000000000001</v>
      </c>
    </row>
    <row r="29" spans="1:4" ht="25" customHeight="1" x14ac:dyDescent="0.35">
      <c r="A29" s="196" t="s">
        <v>263</v>
      </c>
      <c r="B29" s="197"/>
      <c r="C29" s="51">
        <f>ROUND((1/3)/12,5)</f>
        <v>2.7779999999999999E-2</v>
      </c>
      <c r="D29" s="42">
        <f t="shared" ref="D29:D36" si="1">ROUND($D$13*C29,2)</f>
        <v>46.37</v>
      </c>
    </row>
    <row r="30" spans="1:4" ht="25" customHeight="1" x14ac:dyDescent="0.35">
      <c r="A30" s="176" t="s">
        <v>23</v>
      </c>
      <c r="B30" s="178"/>
      <c r="C30" s="10">
        <f>ROUND((((100% / 30) * 7) / 12),5)</f>
        <v>1.9439999999999999E-2</v>
      </c>
      <c r="D30" s="5">
        <f t="shared" si="1"/>
        <v>32.450000000000003</v>
      </c>
    </row>
    <row r="31" spans="1:4" ht="25" customHeight="1" x14ac:dyDescent="0.35">
      <c r="A31" s="196" t="s">
        <v>24</v>
      </c>
      <c r="B31" s="197"/>
      <c r="C31" s="51">
        <f>ROUND((5/30)/12,5)</f>
        <v>1.389E-2</v>
      </c>
      <c r="D31" s="42">
        <f t="shared" si="1"/>
        <v>23.18</v>
      </c>
    </row>
    <row r="32" spans="1:4" ht="25" customHeight="1" x14ac:dyDescent="0.35">
      <c r="A32" s="176" t="s">
        <v>25</v>
      </c>
      <c r="B32" s="178"/>
      <c r="C32" s="10">
        <f>ROUND(((15/30/12)*0.08),5)</f>
        <v>3.3300000000000001E-3</v>
      </c>
      <c r="D32" s="5">
        <f t="shared" si="1"/>
        <v>5.56</v>
      </c>
    </row>
    <row r="33" spans="1:4" ht="25" customHeight="1" x14ac:dyDescent="0.35">
      <c r="A33" s="196" t="s">
        <v>26</v>
      </c>
      <c r="B33" s="197"/>
      <c r="C33" s="51">
        <f>ROUND((1/30)/12,5)</f>
        <v>2.7799999999999999E-3</v>
      </c>
      <c r="D33" s="42">
        <f t="shared" si="1"/>
        <v>4.6399999999999997</v>
      </c>
    </row>
    <row r="34" spans="1:4" ht="25" customHeight="1" x14ac:dyDescent="0.35">
      <c r="A34" s="176" t="s">
        <v>27</v>
      </c>
      <c r="B34" s="178"/>
      <c r="C34" s="10">
        <f>ROUND(0.1111*0.02*0.333,5)</f>
        <v>7.3999999999999999E-4</v>
      </c>
      <c r="D34" s="5">
        <f t="shared" si="1"/>
        <v>1.24</v>
      </c>
    </row>
    <row r="35" spans="1:4" ht="25" customHeight="1" x14ac:dyDescent="0.35">
      <c r="A35" s="196" t="s">
        <v>28</v>
      </c>
      <c r="B35" s="197"/>
      <c r="C35" s="51">
        <f>ROUND(((5/30)/12)*0.015,5)</f>
        <v>2.1000000000000001E-4</v>
      </c>
      <c r="D35" s="42">
        <f t="shared" si="1"/>
        <v>0.35</v>
      </c>
    </row>
    <row r="36" spans="1:4" ht="25" customHeight="1" x14ac:dyDescent="0.35">
      <c r="A36" s="176" t="s">
        <v>264</v>
      </c>
      <c r="B36" s="178"/>
      <c r="C36" s="10">
        <f>ROUND(1/12,5)</f>
        <v>8.3330000000000001E-2</v>
      </c>
      <c r="D36" s="5">
        <f t="shared" si="1"/>
        <v>139.08000000000001</v>
      </c>
    </row>
    <row r="37" spans="1:4" x14ac:dyDescent="0.35">
      <c r="A37" s="198" t="s">
        <v>29</v>
      </c>
      <c r="B37" s="199"/>
      <c r="C37" s="30">
        <f>ROUND(SUM(C28:C36),5)</f>
        <v>0.23483000000000001</v>
      </c>
      <c r="D37" s="29">
        <f>ROUND(SUM(D28:D36),2)</f>
        <v>391.95</v>
      </c>
    </row>
    <row r="38" spans="1:4" x14ac:dyDescent="0.35">
      <c r="A38" s="20"/>
      <c r="B38" s="20"/>
      <c r="C38" s="8"/>
      <c r="D38" s="7"/>
    </row>
    <row r="39" spans="1:4" x14ac:dyDescent="0.35">
      <c r="A39" s="207" t="s">
        <v>30</v>
      </c>
      <c r="B39" s="208"/>
      <c r="C39" s="90" t="s">
        <v>6</v>
      </c>
      <c r="D39" s="90" t="s">
        <v>7</v>
      </c>
    </row>
    <row r="40" spans="1:4" ht="25" customHeight="1" x14ac:dyDescent="0.35">
      <c r="A40" s="210" t="s">
        <v>31</v>
      </c>
      <c r="B40" s="211"/>
      <c r="C40" s="12">
        <f>ROUND(1/12*5%,5)</f>
        <v>4.1700000000000001E-3</v>
      </c>
      <c r="D40" s="54">
        <f>ROUND($D$13*C40,2)</f>
        <v>6.96</v>
      </c>
    </row>
    <row r="41" spans="1:4" ht="25" customHeight="1" x14ac:dyDescent="0.35">
      <c r="A41" s="196" t="s">
        <v>32</v>
      </c>
      <c r="B41" s="197"/>
      <c r="C41" s="50">
        <f>ROUND(0.02*(1/12),5)</f>
        <v>1.67E-3</v>
      </c>
      <c r="D41" s="42">
        <f>ROUND($D$13*C41,2)</f>
        <v>2.79</v>
      </c>
    </row>
    <row r="42" spans="1:4" ht="25" customHeight="1" x14ac:dyDescent="0.35">
      <c r="A42" s="210" t="s">
        <v>33</v>
      </c>
      <c r="B42" s="211"/>
      <c r="C42" s="15">
        <f>ROUND(40%*8%,5)</f>
        <v>3.2000000000000001E-2</v>
      </c>
      <c r="D42" s="54">
        <f>ROUND($D$13*C42,2)</f>
        <v>53.41</v>
      </c>
    </row>
    <row r="43" spans="1:4" x14ac:dyDescent="0.35">
      <c r="A43" s="198" t="s">
        <v>34</v>
      </c>
      <c r="B43" s="199"/>
      <c r="C43" s="30">
        <f>ROUND(SUM(C40:C42),5)</f>
        <v>3.7839999999999999E-2</v>
      </c>
      <c r="D43" s="29">
        <f>ROUND(SUM(D40:D42),2)</f>
        <v>63.16</v>
      </c>
    </row>
    <row r="44" spans="1:4" x14ac:dyDescent="0.35">
      <c r="A44" s="20"/>
      <c r="B44" s="20"/>
      <c r="C44" s="8"/>
      <c r="D44" s="7"/>
    </row>
    <row r="45" spans="1:4" x14ac:dyDescent="0.35">
      <c r="A45" s="207" t="s">
        <v>35</v>
      </c>
      <c r="B45" s="208"/>
      <c r="C45" s="90" t="s">
        <v>6</v>
      </c>
      <c r="D45" s="90" t="s">
        <v>7</v>
      </c>
    </row>
    <row r="46" spans="1:4" ht="29" customHeight="1" x14ac:dyDescent="0.35">
      <c r="A46" s="176" t="s">
        <v>36</v>
      </c>
      <c r="B46" s="178"/>
      <c r="C46" s="14">
        <f>ROUND(C25*C37,5)</f>
        <v>9.3460000000000001E-2</v>
      </c>
      <c r="D46" s="5">
        <f>ROUND($D$13*C46,2)</f>
        <v>155.99</v>
      </c>
    </row>
    <row r="47" spans="1:4" x14ac:dyDescent="0.35">
      <c r="A47" s="198" t="s">
        <v>37</v>
      </c>
      <c r="B47" s="199"/>
      <c r="C47" s="30">
        <f>ROUND(SUM(C46),5)</f>
        <v>9.3460000000000001E-2</v>
      </c>
      <c r="D47" s="29">
        <f>ROUND(SUM(D46),2)</f>
        <v>155.99</v>
      </c>
    </row>
    <row r="48" spans="1:4" x14ac:dyDescent="0.35">
      <c r="A48" s="20"/>
      <c r="B48" s="20"/>
      <c r="C48" s="8"/>
      <c r="D48" s="7"/>
    </row>
    <row r="49" spans="1:4" x14ac:dyDescent="0.35">
      <c r="A49" s="207" t="s">
        <v>38</v>
      </c>
      <c r="B49" s="208"/>
      <c r="C49" s="90" t="s">
        <v>6</v>
      </c>
      <c r="D49" s="90" t="s">
        <v>7</v>
      </c>
    </row>
    <row r="50" spans="1:4" ht="65.5" customHeight="1" x14ac:dyDescent="0.35">
      <c r="A50" s="176" t="s">
        <v>39</v>
      </c>
      <c r="B50" s="178"/>
      <c r="C50" s="15">
        <f>ROUND(8%*C40,5)</f>
        <v>3.3E-4</v>
      </c>
      <c r="D50" s="5">
        <f>ROUND($D$13*C50,2)</f>
        <v>0.55000000000000004</v>
      </c>
    </row>
    <row r="51" spans="1:4" x14ac:dyDescent="0.35">
      <c r="A51" s="198" t="s">
        <v>40</v>
      </c>
      <c r="B51" s="199"/>
      <c r="C51" s="30">
        <f>ROUND(SUM(C50:C50),5)</f>
        <v>3.3E-4</v>
      </c>
      <c r="D51" s="29">
        <f>ROUND(SUM(D50:D50),2)</f>
        <v>0.55000000000000004</v>
      </c>
    </row>
    <row r="52" spans="1:4" x14ac:dyDescent="0.35">
      <c r="A52" s="20"/>
      <c r="B52" s="20"/>
      <c r="C52" s="8"/>
      <c r="D52" s="7"/>
    </row>
    <row r="53" spans="1:4" x14ac:dyDescent="0.35">
      <c r="A53" s="207" t="s">
        <v>41</v>
      </c>
      <c r="B53" s="208"/>
      <c r="C53" s="90" t="s">
        <v>6</v>
      </c>
      <c r="D53" s="90" t="s">
        <v>7</v>
      </c>
    </row>
    <row r="54" spans="1:4" ht="116" customHeight="1" x14ac:dyDescent="0.35">
      <c r="A54" s="176" t="s">
        <v>42</v>
      </c>
      <c r="B54" s="178"/>
      <c r="C54" s="14">
        <f>ROUND(C25*(13/12)*(4/12)*2/100,5)</f>
        <v>2.8700000000000002E-3</v>
      </c>
      <c r="D54" s="5">
        <f>ROUND($D$13*C54,2)</f>
        <v>4.79</v>
      </c>
    </row>
    <row r="55" spans="1:4" x14ac:dyDescent="0.35">
      <c r="A55" s="198" t="s">
        <v>43</v>
      </c>
      <c r="B55" s="199"/>
      <c r="C55" s="30">
        <f>ROUND(SUM(C54),5)</f>
        <v>2.8700000000000002E-3</v>
      </c>
      <c r="D55" s="29">
        <f>ROUND(SUM(D54),2)</f>
        <v>4.79</v>
      </c>
    </row>
    <row r="56" spans="1:4" x14ac:dyDescent="0.35">
      <c r="A56" s="198" t="s">
        <v>44</v>
      </c>
      <c r="B56" s="199"/>
      <c r="C56" s="30">
        <f>ROUND(C25+C37+C43+C47+C51+C55,5)</f>
        <v>0.76732999999999996</v>
      </c>
      <c r="D56" s="29">
        <f>ROUND(D25+D37+D43+D47+D51+D55,2)</f>
        <v>1280.72</v>
      </c>
    </row>
    <row r="57" spans="1:4" ht="15" customHeight="1" x14ac:dyDescent="0.35">
      <c r="A57" s="20"/>
      <c r="B57" s="20"/>
      <c r="C57" s="8"/>
      <c r="D57" s="7"/>
    </row>
    <row r="58" spans="1:4" ht="15" customHeight="1" x14ac:dyDescent="0.35">
      <c r="A58" s="198" t="s">
        <v>45</v>
      </c>
      <c r="B58" s="200"/>
      <c r="C58" s="199"/>
      <c r="D58" s="29">
        <f>D13+D56</f>
        <v>2949.76</v>
      </c>
    </row>
    <row r="59" spans="1:4" ht="15" customHeight="1" x14ac:dyDescent="0.35">
      <c r="A59" s="3"/>
      <c r="B59" s="3"/>
      <c r="C59" s="3"/>
      <c r="D59" s="3"/>
    </row>
    <row r="60" spans="1:4" ht="15" customHeight="1" x14ac:dyDescent="0.35">
      <c r="A60" s="202" t="s">
        <v>72</v>
      </c>
      <c r="B60" s="202"/>
      <c r="C60" s="202"/>
      <c r="D60" s="202"/>
    </row>
    <row r="61" spans="1:4" x14ac:dyDescent="0.35">
      <c r="A61" s="202" t="s">
        <v>46</v>
      </c>
      <c r="B61" s="202"/>
      <c r="C61" s="90" t="s">
        <v>218</v>
      </c>
      <c r="D61" s="92" t="s">
        <v>7</v>
      </c>
    </row>
    <row r="62" spans="1:4" ht="99.5" customHeight="1" x14ac:dyDescent="0.35">
      <c r="A62" s="206" t="s">
        <v>91</v>
      </c>
      <c r="B62" s="206"/>
      <c r="C62" s="33">
        <v>17</v>
      </c>
      <c r="D62" s="33">
        <f>ROUND(C62*22,2)</f>
        <v>374</v>
      </c>
    </row>
    <row r="63" spans="1:4" ht="22.5" customHeight="1" x14ac:dyDescent="0.35">
      <c r="A63" s="209" t="s">
        <v>92</v>
      </c>
      <c r="B63" s="209"/>
      <c r="C63" s="101"/>
      <c r="D63" s="49">
        <f>ROUND(D62*C63,2)*-1</f>
        <v>0</v>
      </c>
    </row>
    <row r="64" spans="1:4" ht="29.5" customHeight="1" x14ac:dyDescent="0.35">
      <c r="A64" s="206" t="s">
        <v>78</v>
      </c>
      <c r="B64" s="206"/>
      <c r="C64" s="33">
        <v>150</v>
      </c>
      <c r="D64" s="33">
        <f>C64</f>
        <v>150</v>
      </c>
    </row>
    <row r="65" spans="1:4" ht="29.5" customHeight="1" x14ac:dyDescent="0.35">
      <c r="A65" s="209" t="s">
        <v>96</v>
      </c>
      <c r="B65" s="209"/>
      <c r="C65" s="113">
        <v>1</v>
      </c>
      <c r="D65" s="49">
        <f>C65*-1</f>
        <v>-1</v>
      </c>
    </row>
    <row r="66" spans="1:4" ht="102.5" customHeight="1" x14ac:dyDescent="0.35">
      <c r="A66" s="206" t="s">
        <v>93</v>
      </c>
      <c r="B66" s="206"/>
      <c r="C66" s="104">
        <v>3.8</v>
      </c>
      <c r="D66" s="33">
        <f>ROUND(C66*2*22,2)</f>
        <v>167.2</v>
      </c>
    </row>
    <row r="67" spans="1:4" ht="62" customHeight="1" x14ac:dyDescent="0.35">
      <c r="A67" s="209" t="s">
        <v>94</v>
      </c>
      <c r="B67" s="209"/>
      <c r="C67" s="101">
        <v>0.06</v>
      </c>
      <c r="D67" s="49">
        <f>IF(D11*C67&gt;D66,"-",ROUND(D11*C67,2)*-1)</f>
        <v>-100.14</v>
      </c>
    </row>
    <row r="68" spans="1:4" ht="69.5" customHeight="1" x14ac:dyDescent="0.35">
      <c r="A68" s="206" t="s">
        <v>277</v>
      </c>
      <c r="B68" s="206"/>
      <c r="C68" s="104">
        <v>500</v>
      </c>
      <c r="D68" s="33">
        <f>C68</f>
        <v>500</v>
      </c>
    </row>
    <row r="69" spans="1:4" ht="44.5" customHeight="1" x14ac:dyDescent="0.35">
      <c r="A69" s="205" t="s">
        <v>219</v>
      </c>
      <c r="B69" s="205"/>
      <c r="C69" s="102">
        <v>10</v>
      </c>
      <c r="D69" s="47">
        <f>C69</f>
        <v>10</v>
      </c>
    </row>
    <row r="70" spans="1:4" ht="25.5" customHeight="1" x14ac:dyDescent="0.35">
      <c r="A70" s="206" t="s">
        <v>47</v>
      </c>
      <c r="B70" s="206"/>
      <c r="C70" s="60" t="s">
        <v>60</v>
      </c>
      <c r="D70" s="33">
        <f>'Uniforme Tipo I'!F13</f>
        <v>82.32</v>
      </c>
    </row>
    <row r="71" spans="1:4" ht="25.5" customHeight="1" x14ac:dyDescent="0.35">
      <c r="A71" s="233" t="s">
        <v>265</v>
      </c>
      <c r="B71" s="234"/>
      <c r="C71" s="61" t="s">
        <v>60</v>
      </c>
      <c r="D71" s="45">
        <f>'Manutenção Equip.'!F7</f>
        <v>22.3</v>
      </c>
    </row>
    <row r="72" spans="1:4" ht="15" customHeight="1" x14ac:dyDescent="0.35">
      <c r="A72" s="217" t="s">
        <v>48</v>
      </c>
      <c r="B72" s="217"/>
      <c r="C72" s="217"/>
      <c r="D72" s="29">
        <f>ROUND(SUM(D62:D70),2)</f>
        <v>1182.3800000000001</v>
      </c>
    </row>
    <row r="73" spans="1:4" x14ac:dyDescent="0.35">
      <c r="A73" s="20"/>
      <c r="B73" s="20"/>
      <c r="C73" s="20"/>
      <c r="D73" s="7"/>
    </row>
    <row r="74" spans="1:4" ht="30" customHeight="1" x14ac:dyDescent="0.35">
      <c r="A74" s="198" t="s">
        <v>49</v>
      </c>
      <c r="B74" s="200"/>
      <c r="C74" s="199"/>
      <c r="D74" s="29">
        <f>ROUND(D58+D72,2)</f>
        <v>4132.1400000000003</v>
      </c>
    </row>
    <row r="75" spans="1:4" x14ac:dyDescent="0.35">
      <c r="A75" s="20"/>
      <c r="B75" s="20"/>
      <c r="C75" s="20"/>
      <c r="D75" s="7"/>
    </row>
    <row r="76" spans="1:4" x14ac:dyDescent="0.35">
      <c r="A76" s="202" t="s">
        <v>88</v>
      </c>
      <c r="B76" s="202"/>
      <c r="C76" s="202"/>
      <c r="D76" s="202"/>
    </row>
    <row r="77" spans="1:4" x14ac:dyDescent="0.35">
      <c r="A77" s="207" t="s">
        <v>50</v>
      </c>
      <c r="B77" s="208"/>
      <c r="C77" s="90" t="s">
        <v>6</v>
      </c>
      <c r="D77" s="90" t="s">
        <v>7</v>
      </c>
    </row>
    <row r="78" spans="1:4" s="1" customFormat="1" ht="30" customHeight="1" x14ac:dyDescent="0.3">
      <c r="A78" s="176" t="s">
        <v>51</v>
      </c>
      <c r="B78" s="178"/>
      <c r="C78" s="13">
        <v>0.05</v>
      </c>
      <c r="D78" s="18">
        <f>ROUND(D74*C78,2)</f>
        <v>206.61</v>
      </c>
    </row>
    <row r="79" spans="1:4" s="1" customFormat="1" ht="30" customHeight="1" x14ac:dyDescent="0.3">
      <c r="A79" s="196" t="s">
        <v>9</v>
      </c>
      <c r="B79" s="197"/>
      <c r="C79" s="41">
        <v>0.1</v>
      </c>
      <c r="D79" s="44">
        <f>ROUND(D74*C79,2)</f>
        <v>413.21</v>
      </c>
    </row>
    <row r="80" spans="1:4" x14ac:dyDescent="0.35">
      <c r="A80" s="198" t="s">
        <v>52</v>
      </c>
      <c r="B80" s="199"/>
      <c r="C80" s="31">
        <f>ROUND(SUM(C78:C79),5)</f>
        <v>0.15</v>
      </c>
      <c r="D80" s="29">
        <f>SUM(D78:D79)</f>
        <v>619.81999999999994</v>
      </c>
    </row>
    <row r="81" spans="1:4" x14ac:dyDescent="0.35">
      <c r="A81" s="20"/>
      <c r="B81" s="20"/>
      <c r="C81" s="6"/>
      <c r="D81" s="7"/>
    </row>
    <row r="82" spans="1:4" ht="30" customHeight="1" x14ac:dyDescent="0.35">
      <c r="A82" s="198" t="s">
        <v>73</v>
      </c>
      <c r="B82" s="200"/>
      <c r="C82" s="199"/>
      <c r="D82" s="29">
        <f>ROUND(D74+D80,2)</f>
        <v>4751.96</v>
      </c>
    </row>
    <row r="83" spans="1:4" x14ac:dyDescent="0.35">
      <c r="A83" s="20"/>
      <c r="B83" s="20"/>
      <c r="C83" s="20"/>
      <c r="D83" s="7"/>
    </row>
    <row r="84" spans="1:4" ht="35.25" customHeight="1" x14ac:dyDescent="0.35">
      <c r="A84" s="235" t="s">
        <v>63</v>
      </c>
      <c r="B84" s="235"/>
      <c r="C84" s="30">
        <f>ROUND(1-(SUM(C87:C89)/1),5)</f>
        <v>0.91349999999999998</v>
      </c>
      <c r="D84" s="29">
        <f>ROUND(D82/C84,2)</f>
        <v>5201.93</v>
      </c>
    </row>
    <row r="85" spans="1:4" x14ac:dyDescent="0.35">
      <c r="A85" s="3"/>
      <c r="B85" s="3"/>
      <c r="C85" s="3"/>
      <c r="D85" s="3"/>
    </row>
    <row r="86" spans="1:4" x14ac:dyDescent="0.35">
      <c r="A86" s="207" t="s">
        <v>53</v>
      </c>
      <c r="B86" s="208"/>
      <c r="C86" s="90" t="s">
        <v>6</v>
      </c>
      <c r="D86" s="90" t="s">
        <v>7</v>
      </c>
    </row>
    <row r="87" spans="1:4" ht="22" customHeight="1" x14ac:dyDescent="0.35">
      <c r="A87" s="176" t="s">
        <v>54</v>
      </c>
      <c r="B87" s="178"/>
      <c r="C87" s="13">
        <v>0.05</v>
      </c>
      <c r="D87" s="5">
        <f>ROUND($D$84*C87,2)</f>
        <v>260.10000000000002</v>
      </c>
    </row>
    <row r="88" spans="1:4" ht="22" customHeight="1" x14ac:dyDescent="0.35">
      <c r="A88" s="196" t="s">
        <v>55</v>
      </c>
      <c r="B88" s="197"/>
      <c r="C88" s="41">
        <v>0.03</v>
      </c>
      <c r="D88" s="42">
        <f>ROUND($D$84*C88,2)</f>
        <v>156.06</v>
      </c>
    </row>
    <row r="89" spans="1:4" ht="22" customHeight="1" x14ac:dyDescent="0.35">
      <c r="A89" s="176" t="s">
        <v>56</v>
      </c>
      <c r="B89" s="178"/>
      <c r="C89" s="13">
        <v>6.4999999999999997E-3</v>
      </c>
      <c r="D89" s="5">
        <f>ROUND($D$84*C89,2)</f>
        <v>33.81</v>
      </c>
    </row>
    <row r="90" spans="1:4" x14ac:dyDescent="0.35">
      <c r="A90" s="198" t="s">
        <v>57</v>
      </c>
      <c r="B90" s="199"/>
      <c r="C90" s="30">
        <f>ROUND(SUM(C87:C89),5)</f>
        <v>8.6499999999999994E-2</v>
      </c>
      <c r="D90" s="29">
        <f>ROUND(SUM(D87:D89),2)</f>
        <v>449.97</v>
      </c>
    </row>
    <row r="91" spans="1:4" ht="10" customHeight="1" x14ac:dyDescent="0.35">
      <c r="A91" s="3"/>
      <c r="B91" s="3"/>
      <c r="C91" s="3"/>
      <c r="D91" s="3"/>
    </row>
    <row r="92" spans="1:4" ht="25" customHeight="1" x14ac:dyDescent="0.35">
      <c r="A92" s="198" t="s">
        <v>58</v>
      </c>
      <c r="B92" s="200"/>
      <c r="C92" s="199"/>
      <c r="D92" s="29">
        <f>ROUND(D82+D90,2)</f>
        <v>5201.93</v>
      </c>
    </row>
    <row r="93" spans="1:4" ht="25" customHeight="1" x14ac:dyDescent="0.35">
      <c r="A93" s="198" t="s">
        <v>64</v>
      </c>
      <c r="B93" s="200"/>
      <c r="C93" s="199"/>
      <c r="D93" s="29">
        <f>ROUND(D92*12,2)</f>
        <v>62423.16</v>
      </c>
    </row>
    <row r="94" spans="1:4" ht="10" customHeight="1" x14ac:dyDescent="0.35">
      <c r="A94" s="20"/>
      <c r="B94" s="20"/>
      <c r="C94" s="20"/>
      <c r="D94" s="7"/>
    </row>
    <row r="95" spans="1:4" ht="15" customHeight="1" x14ac:dyDescent="0.35">
      <c r="A95" s="202" t="s">
        <v>59</v>
      </c>
      <c r="B95" s="202"/>
      <c r="C95" s="202"/>
      <c r="D95" s="27" t="s">
        <v>6</v>
      </c>
    </row>
    <row r="96" spans="1:4" ht="15" customHeight="1" x14ac:dyDescent="0.35">
      <c r="A96" s="201" t="s">
        <v>74</v>
      </c>
      <c r="B96" s="201"/>
      <c r="C96" s="201"/>
      <c r="D96" s="17">
        <f>C25</f>
        <v>0.39800000000000002</v>
      </c>
    </row>
    <row r="97" spans="1:4" ht="15" customHeight="1" x14ac:dyDescent="0.35">
      <c r="A97" s="203" t="s">
        <v>29</v>
      </c>
      <c r="B97" s="203"/>
      <c r="C97" s="203"/>
      <c r="D97" s="43">
        <f>C37</f>
        <v>0.23483000000000001</v>
      </c>
    </row>
    <row r="98" spans="1:4" ht="15" customHeight="1" x14ac:dyDescent="0.35">
      <c r="A98" s="201" t="s">
        <v>34</v>
      </c>
      <c r="B98" s="201"/>
      <c r="C98" s="201"/>
      <c r="D98" s="17">
        <f>C43</f>
        <v>3.7839999999999999E-2</v>
      </c>
    </row>
    <row r="99" spans="1:4" ht="15" customHeight="1" x14ac:dyDescent="0.35">
      <c r="A99" s="203" t="s">
        <v>37</v>
      </c>
      <c r="B99" s="203"/>
      <c r="C99" s="203"/>
      <c r="D99" s="43">
        <f>C47</f>
        <v>9.3460000000000001E-2</v>
      </c>
    </row>
    <row r="100" spans="1:4" ht="15" customHeight="1" x14ac:dyDescent="0.35">
      <c r="A100" s="201" t="s">
        <v>40</v>
      </c>
      <c r="B100" s="201"/>
      <c r="C100" s="201"/>
      <c r="D100" s="17">
        <f>C51</f>
        <v>3.3E-4</v>
      </c>
    </row>
    <row r="101" spans="1:4" ht="15" customHeight="1" x14ac:dyDescent="0.35">
      <c r="A101" s="203" t="s">
        <v>43</v>
      </c>
      <c r="B101" s="203"/>
      <c r="C101" s="203"/>
      <c r="D101" s="43">
        <f>C55</f>
        <v>2.8700000000000002E-3</v>
      </c>
    </row>
    <row r="102" spans="1:4" ht="15" customHeight="1" x14ac:dyDescent="0.35">
      <c r="A102" s="236" t="s">
        <v>75</v>
      </c>
      <c r="B102" s="236"/>
      <c r="C102" s="236"/>
      <c r="D102" s="28">
        <f>ROUND(SUM(D96:D101),5)</f>
        <v>0.76732999999999996</v>
      </c>
    </row>
    <row r="103" spans="1:4" ht="10" customHeight="1" x14ac:dyDescent="0.35"/>
    <row r="104" spans="1:4" x14ac:dyDescent="0.35">
      <c r="A104" s="207" t="s">
        <v>268</v>
      </c>
      <c r="B104" s="208"/>
      <c r="C104" s="90" t="s">
        <v>269</v>
      </c>
      <c r="D104" s="27" t="s">
        <v>6</v>
      </c>
    </row>
    <row r="105" spans="1:4" x14ac:dyDescent="0.35">
      <c r="A105" s="212" t="s">
        <v>270</v>
      </c>
      <c r="B105" s="213"/>
      <c r="C105" s="110">
        <f>D13</f>
        <v>1669.04</v>
      </c>
      <c r="D105" s="17">
        <f>ROUND(C105/$C$109,5)</f>
        <v>0.32085000000000002</v>
      </c>
    </row>
    <row r="106" spans="1:4" ht="24.5" customHeight="1" x14ac:dyDescent="0.35">
      <c r="A106" s="229" t="s">
        <v>271</v>
      </c>
      <c r="B106" s="230"/>
      <c r="C106" s="111">
        <f>D56</f>
        <v>1280.72</v>
      </c>
      <c r="D106" s="43">
        <f>ROUND(C106/$C$109,5)</f>
        <v>0.2462</v>
      </c>
    </row>
    <row r="107" spans="1:4" x14ac:dyDescent="0.35">
      <c r="A107" s="212" t="s">
        <v>272</v>
      </c>
      <c r="B107" s="213"/>
      <c r="C107" s="110">
        <f>D72</f>
        <v>1182.3800000000001</v>
      </c>
      <c r="D107" s="17">
        <f>ROUND(C107/$C$109,5)</f>
        <v>0.2273</v>
      </c>
    </row>
    <row r="108" spans="1:4" x14ac:dyDescent="0.35">
      <c r="A108" s="229" t="s">
        <v>273</v>
      </c>
      <c r="B108" s="230"/>
      <c r="C108" s="111">
        <f>ROUND(D80+D90,2)</f>
        <v>1069.79</v>
      </c>
      <c r="D108" s="43">
        <f>ROUND(C108/$C$109,5)</f>
        <v>0.20565</v>
      </c>
    </row>
    <row r="109" spans="1:4" x14ac:dyDescent="0.35">
      <c r="A109" s="231" t="s">
        <v>274</v>
      </c>
      <c r="B109" s="232"/>
      <c r="C109" s="112">
        <f>ROUND(SUM(C105:C108),2)</f>
        <v>5201.93</v>
      </c>
      <c r="D109" s="30">
        <f>ROUND(SUM(D105:D108),5)</f>
        <v>1</v>
      </c>
    </row>
  </sheetData>
  <mergeCells count="92">
    <mergeCell ref="A104:B104"/>
    <mergeCell ref="A90:B90"/>
    <mergeCell ref="A92:C92"/>
    <mergeCell ref="A93:C93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5:B105"/>
    <mergeCell ref="A106:B106"/>
    <mergeCell ref="A107:B107"/>
    <mergeCell ref="A108:B108"/>
    <mergeCell ref="A109:B109"/>
    <mergeCell ref="A87:B87"/>
    <mergeCell ref="A88:B88"/>
    <mergeCell ref="A89:B89"/>
    <mergeCell ref="A74:C74"/>
    <mergeCell ref="A76:D76"/>
    <mergeCell ref="A77:B77"/>
    <mergeCell ref="A78:B78"/>
    <mergeCell ref="A79:B79"/>
    <mergeCell ref="A80:B80"/>
    <mergeCell ref="A82:C82"/>
    <mergeCell ref="A84:B84"/>
    <mergeCell ref="A86:B86"/>
    <mergeCell ref="A71:B71"/>
    <mergeCell ref="A72:C72"/>
    <mergeCell ref="A60:D60"/>
    <mergeCell ref="A61:B61"/>
    <mergeCell ref="A62:B62"/>
    <mergeCell ref="A63:B63"/>
    <mergeCell ref="A64:B64"/>
    <mergeCell ref="A66:B66"/>
    <mergeCell ref="A67:B67"/>
    <mergeCell ref="A65:B65"/>
    <mergeCell ref="A68:B68"/>
    <mergeCell ref="A69:B69"/>
    <mergeCell ref="A58:C58"/>
    <mergeCell ref="A46:B46"/>
    <mergeCell ref="A47:B47"/>
    <mergeCell ref="A49:B49"/>
    <mergeCell ref="A70:B70"/>
    <mergeCell ref="A51:B51"/>
    <mergeCell ref="A53:B53"/>
    <mergeCell ref="A54:B54"/>
    <mergeCell ref="A55:B55"/>
    <mergeCell ref="A56:B56"/>
    <mergeCell ref="A31:B31"/>
    <mergeCell ref="A32:B32"/>
    <mergeCell ref="A33:B33"/>
    <mergeCell ref="A50:B50"/>
    <mergeCell ref="A40:B40"/>
    <mergeCell ref="A41:B41"/>
    <mergeCell ref="A42:B42"/>
    <mergeCell ref="A43:B43"/>
    <mergeCell ref="A45:B45"/>
    <mergeCell ref="A34:B34"/>
    <mergeCell ref="A35:B35"/>
    <mergeCell ref="A36:B36"/>
    <mergeCell ref="A37:B37"/>
    <mergeCell ref="A39:B39"/>
    <mergeCell ref="A25:B25"/>
    <mergeCell ref="A27:B27"/>
    <mergeCell ref="A28:B28"/>
    <mergeCell ref="A29:B29"/>
    <mergeCell ref="A30:B30"/>
    <mergeCell ref="A23:B23"/>
    <mergeCell ref="A24:B24"/>
    <mergeCell ref="A13:C13"/>
    <mergeCell ref="A15:D15"/>
    <mergeCell ref="A16:B16"/>
    <mergeCell ref="A17:B17"/>
    <mergeCell ref="A18:B18"/>
    <mergeCell ref="B6:D6"/>
    <mergeCell ref="A19:B19"/>
    <mergeCell ref="A20:B20"/>
    <mergeCell ref="A21:B21"/>
    <mergeCell ref="A22:B22"/>
    <mergeCell ref="A8:D8"/>
    <mergeCell ref="A9:D9"/>
    <mergeCell ref="A10:B10"/>
    <mergeCell ref="A11:B11"/>
    <mergeCell ref="A12:B12"/>
    <mergeCell ref="A1:D1"/>
    <mergeCell ref="B2:D2"/>
    <mergeCell ref="B3:D3"/>
    <mergeCell ref="B4:D4"/>
    <mergeCell ref="B5:D5"/>
  </mergeCells>
  <pageMargins left="0.23622047244094491" right="0.23622047244094491" top="1.3385826771653544" bottom="0.74803149606299213" header="0.9055118110236221" footer="0.31496062992125984"/>
  <pageSetup fitToHeight="0" orientation="landscape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16775-30E3-47C9-AA9F-E9BBFEC415BA}">
  <sheetPr codeName="Planilha17">
    <pageSetUpPr fitToPage="1"/>
  </sheetPr>
  <dimension ref="A1:D109"/>
  <sheetViews>
    <sheetView view="pageBreakPreview" zoomScaleNormal="100" zoomScaleSheetLayoutView="100" workbookViewId="0">
      <selection activeCell="F6" sqref="F6"/>
    </sheetView>
  </sheetViews>
  <sheetFormatPr defaultRowHeight="14.5" x14ac:dyDescent="0.35"/>
  <cols>
    <col min="1" max="1" width="33.453125" customWidth="1"/>
    <col min="2" max="2" width="14.54296875" customWidth="1"/>
    <col min="3" max="3" width="10.81640625" customWidth="1"/>
    <col min="4" max="4" width="12.26953125" customWidth="1"/>
  </cols>
  <sheetData>
    <row r="1" spans="1:4" ht="28" customHeight="1" x14ac:dyDescent="0.35">
      <c r="A1" s="218" t="s">
        <v>0</v>
      </c>
      <c r="B1" s="218"/>
      <c r="C1" s="218"/>
      <c r="D1" s="218"/>
    </row>
    <row r="2" spans="1:4" ht="30.5" customHeight="1" x14ac:dyDescent="0.35">
      <c r="A2" s="23" t="s">
        <v>2</v>
      </c>
      <c r="B2" s="214" t="str">
        <f>'Quantidade de Cargo'!A15</f>
        <v>Oficial de Manutenção</v>
      </c>
      <c r="C2" s="215"/>
      <c r="D2" s="216"/>
    </row>
    <row r="3" spans="1:4" ht="15" customHeight="1" x14ac:dyDescent="0.35">
      <c r="A3" s="23" t="s">
        <v>61</v>
      </c>
      <c r="B3" s="219" t="str">
        <f>'Salario Base'!B15</f>
        <v>5134-25</v>
      </c>
      <c r="C3" s="220"/>
      <c r="D3" s="221"/>
    </row>
    <row r="4" spans="1:4" ht="15" customHeight="1" x14ac:dyDescent="0.35">
      <c r="A4" s="24" t="s">
        <v>1</v>
      </c>
      <c r="B4" s="214" t="s">
        <v>143</v>
      </c>
      <c r="C4" s="215"/>
      <c r="D4" s="216"/>
    </row>
    <row r="5" spans="1:4" ht="26" x14ac:dyDescent="0.35">
      <c r="A5" s="24" t="s">
        <v>3</v>
      </c>
      <c r="B5" s="222">
        <v>1</v>
      </c>
      <c r="C5" s="220"/>
      <c r="D5" s="221"/>
    </row>
    <row r="6" spans="1:4" ht="65.5" customHeight="1" x14ac:dyDescent="0.35">
      <c r="A6" s="24" t="s">
        <v>62</v>
      </c>
      <c r="B6" s="214" t="s">
        <v>278</v>
      </c>
      <c r="C6" s="215"/>
      <c r="D6" s="216"/>
    </row>
    <row r="7" spans="1:4" ht="15" customHeight="1" x14ac:dyDescent="0.35">
      <c r="A7" s="2"/>
      <c r="B7" s="16"/>
      <c r="C7" s="3"/>
      <c r="D7" s="3"/>
    </row>
    <row r="8" spans="1:4" x14ac:dyDescent="0.35">
      <c r="A8" s="223" t="s">
        <v>4</v>
      </c>
      <c r="B8" s="223"/>
      <c r="C8" s="223"/>
      <c r="D8" s="223"/>
    </row>
    <row r="9" spans="1:4" x14ac:dyDescent="0.35">
      <c r="A9" s="224" t="s">
        <v>70</v>
      </c>
      <c r="B9" s="225"/>
      <c r="C9" s="225"/>
      <c r="D9" s="226"/>
    </row>
    <row r="10" spans="1:4" x14ac:dyDescent="0.35">
      <c r="A10" s="227" t="s">
        <v>5</v>
      </c>
      <c r="B10" s="228"/>
      <c r="C10" s="90" t="s">
        <v>6</v>
      </c>
      <c r="D10" s="90" t="s">
        <v>7</v>
      </c>
    </row>
    <row r="11" spans="1:4" ht="40.5" customHeight="1" x14ac:dyDescent="0.35">
      <c r="A11" s="176" t="s">
        <v>8</v>
      </c>
      <c r="B11" s="178"/>
      <c r="C11" s="91" t="s">
        <v>60</v>
      </c>
      <c r="D11" s="4">
        <f>'Salario Base'!E18</f>
        <v>2498.52</v>
      </c>
    </row>
    <row r="12" spans="1:4" ht="15" customHeight="1" x14ac:dyDescent="0.35">
      <c r="A12" s="229" t="s">
        <v>66</v>
      </c>
      <c r="B12" s="230"/>
      <c r="C12" s="53"/>
      <c r="D12" s="42">
        <f>C12*D11/100</f>
        <v>0</v>
      </c>
    </row>
    <row r="13" spans="1:4" x14ac:dyDescent="0.35">
      <c r="A13" s="217" t="s">
        <v>20</v>
      </c>
      <c r="B13" s="217"/>
      <c r="C13" s="217"/>
      <c r="D13" s="29">
        <f>ROUND(SUM(D11:D12),2)</f>
        <v>2498.52</v>
      </c>
    </row>
    <row r="14" spans="1:4" x14ac:dyDescent="0.35">
      <c r="A14" s="3"/>
      <c r="B14" s="3"/>
      <c r="C14" s="3"/>
      <c r="D14" s="3"/>
    </row>
    <row r="15" spans="1:4" x14ac:dyDescent="0.35">
      <c r="A15" s="202" t="s">
        <v>71</v>
      </c>
      <c r="B15" s="202"/>
      <c r="C15" s="202"/>
      <c r="D15" s="202"/>
    </row>
    <row r="16" spans="1:4" x14ac:dyDescent="0.35">
      <c r="A16" s="202" t="s">
        <v>10</v>
      </c>
      <c r="B16" s="202"/>
      <c r="C16" s="90" t="s">
        <v>6</v>
      </c>
      <c r="D16" s="90" t="s">
        <v>7</v>
      </c>
    </row>
    <row r="17" spans="1:4" x14ac:dyDescent="0.35">
      <c r="A17" s="176" t="s">
        <v>11</v>
      </c>
      <c r="B17" s="178"/>
      <c r="C17" s="11">
        <v>0.2</v>
      </c>
      <c r="D17" s="5">
        <f>ROUND($D$13*C17,2)</f>
        <v>499.7</v>
      </c>
    </row>
    <row r="18" spans="1:4" x14ac:dyDescent="0.35">
      <c r="A18" s="196" t="s">
        <v>12</v>
      </c>
      <c r="B18" s="197"/>
      <c r="C18" s="52">
        <v>0.08</v>
      </c>
      <c r="D18" s="42">
        <f t="shared" ref="D18:D24" si="0">ROUND($D$13*C18,2)</f>
        <v>199.88</v>
      </c>
    </row>
    <row r="19" spans="1:4" x14ac:dyDescent="0.35">
      <c r="A19" s="176" t="s">
        <v>13</v>
      </c>
      <c r="B19" s="178"/>
      <c r="C19" s="11">
        <v>1.4999999999999999E-2</v>
      </c>
      <c r="D19" s="5">
        <f t="shared" si="0"/>
        <v>37.479999999999997</v>
      </c>
    </row>
    <row r="20" spans="1:4" ht="25.5" customHeight="1" x14ac:dyDescent="0.35">
      <c r="A20" s="196" t="s">
        <v>14</v>
      </c>
      <c r="B20" s="197"/>
      <c r="C20" s="52">
        <v>0.01</v>
      </c>
      <c r="D20" s="42">
        <f t="shared" si="0"/>
        <v>24.99</v>
      </c>
    </row>
    <row r="21" spans="1:4" ht="28.5" customHeight="1" x14ac:dyDescent="0.35">
      <c r="A21" s="176" t="s">
        <v>15</v>
      </c>
      <c r="B21" s="178"/>
      <c r="C21" s="11">
        <v>2E-3</v>
      </c>
      <c r="D21" s="5">
        <f t="shared" si="0"/>
        <v>5</v>
      </c>
    </row>
    <row r="22" spans="1:4" x14ac:dyDescent="0.35">
      <c r="A22" s="196" t="s">
        <v>16</v>
      </c>
      <c r="B22" s="197"/>
      <c r="C22" s="52">
        <v>6.0000000000000001E-3</v>
      </c>
      <c r="D22" s="42">
        <f t="shared" si="0"/>
        <v>14.99</v>
      </c>
    </row>
    <row r="23" spans="1:4" x14ac:dyDescent="0.35">
      <c r="A23" s="212" t="s">
        <v>17</v>
      </c>
      <c r="B23" s="213"/>
      <c r="C23" s="11">
        <v>2.5000000000000001E-2</v>
      </c>
      <c r="D23" s="5">
        <f t="shared" si="0"/>
        <v>62.46</v>
      </c>
    </row>
    <row r="24" spans="1:4" ht="39.75" customHeight="1" x14ac:dyDescent="0.35">
      <c r="A24" s="229" t="s">
        <v>18</v>
      </c>
      <c r="B24" s="230"/>
      <c r="C24" s="50">
        <v>0.06</v>
      </c>
      <c r="D24" s="42">
        <f t="shared" si="0"/>
        <v>149.91</v>
      </c>
    </row>
    <row r="25" spans="1:4" x14ac:dyDescent="0.35">
      <c r="A25" s="198" t="s">
        <v>19</v>
      </c>
      <c r="B25" s="199"/>
      <c r="C25" s="30">
        <f>ROUND(SUM(C17:C24),5)</f>
        <v>0.39800000000000002</v>
      </c>
      <c r="D25" s="29">
        <f>ROUND(SUM(D17:D24),2)</f>
        <v>994.41</v>
      </c>
    </row>
    <row r="26" spans="1:4" x14ac:dyDescent="0.35">
      <c r="A26" s="20"/>
      <c r="B26" s="20"/>
      <c r="C26" s="6"/>
      <c r="D26" s="7"/>
    </row>
    <row r="27" spans="1:4" x14ac:dyDescent="0.35">
      <c r="A27" s="202" t="s">
        <v>21</v>
      </c>
      <c r="B27" s="202"/>
      <c r="C27" s="90" t="s">
        <v>6</v>
      </c>
      <c r="D27" s="90" t="s">
        <v>7</v>
      </c>
    </row>
    <row r="28" spans="1:4" ht="25" customHeight="1" x14ac:dyDescent="0.35">
      <c r="A28" s="212" t="s">
        <v>22</v>
      </c>
      <c r="B28" s="213"/>
      <c r="C28" s="9">
        <f>ROUND(1/12,5)</f>
        <v>8.3330000000000001E-2</v>
      </c>
      <c r="D28" s="5">
        <f>ROUND($D$13*C28,2)</f>
        <v>208.2</v>
      </c>
    </row>
    <row r="29" spans="1:4" ht="25" customHeight="1" x14ac:dyDescent="0.35">
      <c r="A29" s="196" t="s">
        <v>263</v>
      </c>
      <c r="B29" s="197"/>
      <c r="C29" s="51">
        <f>ROUND((1/3)/12,5)</f>
        <v>2.7779999999999999E-2</v>
      </c>
      <c r="D29" s="42">
        <f t="shared" ref="D29:D36" si="1">ROUND($D$13*C29,2)</f>
        <v>69.41</v>
      </c>
    </row>
    <row r="30" spans="1:4" ht="25" customHeight="1" x14ac:dyDescent="0.35">
      <c r="A30" s="176" t="s">
        <v>23</v>
      </c>
      <c r="B30" s="178"/>
      <c r="C30" s="10">
        <f>ROUND((((100% / 30) * 7) / 12),5)</f>
        <v>1.9439999999999999E-2</v>
      </c>
      <c r="D30" s="5">
        <f t="shared" si="1"/>
        <v>48.57</v>
      </c>
    </row>
    <row r="31" spans="1:4" ht="25" customHeight="1" x14ac:dyDescent="0.35">
      <c r="A31" s="196" t="s">
        <v>24</v>
      </c>
      <c r="B31" s="197"/>
      <c r="C31" s="51">
        <f>ROUND((5/30)/12,5)</f>
        <v>1.389E-2</v>
      </c>
      <c r="D31" s="42">
        <f t="shared" si="1"/>
        <v>34.700000000000003</v>
      </c>
    </row>
    <row r="32" spans="1:4" ht="25" customHeight="1" x14ac:dyDescent="0.35">
      <c r="A32" s="176" t="s">
        <v>25</v>
      </c>
      <c r="B32" s="178"/>
      <c r="C32" s="10">
        <f>ROUND(((15/30/12)*0.08),5)</f>
        <v>3.3300000000000001E-3</v>
      </c>
      <c r="D32" s="5">
        <f t="shared" si="1"/>
        <v>8.32</v>
      </c>
    </row>
    <row r="33" spans="1:4" ht="25" customHeight="1" x14ac:dyDescent="0.35">
      <c r="A33" s="196" t="s">
        <v>26</v>
      </c>
      <c r="B33" s="197"/>
      <c r="C33" s="51">
        <f>ROUND((1/30)/12,5)</f>
        <v>2.7799999999999999E-3</v>
      </c>
      <c r="D33" s="42">
        <f t="shared" si="1"/>
        <v>6.95</v>
      </c>
    </row>
    <row r="34" spans="1:4" ht="25" customHeight="1" x14ac:dyDescent="0.35">
      <c r="A34" s="176" t="s">
        <v>27</v>
      </c>
      <c r="B34" s="178"/>
      <c r="C34" s="10">
        <f>ROUND(0.1111*0.02*0.333,5)</f>
        <v>7.3999999999999999E-4</v>
      </c>
      <c r="D34" s="5">
        <f t="shared" si="1"/>
        <v>1.85</v>
      </c>
    </row>
    <row r="35" spans="1:4" ht="25" customHeight="1" x14ac:dyDescent="0.35">
      <c r="A35" s="196" t="s">
        <v>28</v>
      </c>
      <c r="B35" s="197"/>
      <c r="C35" s="51">
        <f>ROUND(((5/30)/12)*0.015,5)</f>
        <v>2.1000000000000001E-4</v>
      </c>
      <c r="D35" s="42">
        <f t="shared" si="1"/>
        <v>0.52</v>
      </c>
    </row>
    <row r="36" spans="1:4" ht="25" customHeight="1" x14ac:dyDescent="0.35">
      <c r="A36" s="176" t="s">
        <v>264</v>
      </c>
      <c r="B36" s="178"/>
      <c r="C36" s="10">
        <f>ROUND(1/12,5)</f>
        <v>8.3330000000000001E-2</v>
      </c>
      <c r="D36" s="5">
        <f t="shared" si="1"/>
        <v>208.2</v>
      </c>
    </row>
    <row r="37" spans="1:4" x14ac:dyDescent="0.35">
      <c r="A37" s="198" t="s">
        <v>29</v>
      </c>
      <c r="B37" s="199"/>
      <c r="C37" s="30">
        <f>ROUND(SUM(C28:C36),5)</f>
        <v>0.23483000000000001</v>
      </c>
      <c r="D37" s="29">
        <f>ROUND(SUM(D28:D36),2)</f>
        <v>586.72</v>
      </c>
    </row>
    <row r="38" spans="1:4" x14ac:dyDescent="0.35">
      <c r="A38" s="20"/>
      <c r="B38" s="20"/>
      <c r="C38" s="8"/>
      <c r="D38" s="7"/>
    </row>
    <row r="39" spans="1:4" x14ac:dyDescent="0.35">
      <c r="A39" s="207" t="s">
        <v>30</v>
      </c>
      <c r="B39" s="208"/>
      <c r="C39" s="90" t="s">
        <v>6</v>
      </c>
      <c r="D39" s="90" t="s">
        <v>7</v>
      </c>
    </row>
    <row r="40" spans="1:4" ht="25" customHeight="1" x14ac:dyDescent="0.35">
      <c r="A40" s="210" t="s">
        <v>31</v>
      </c>
      <c r="B40" s="211"/>
      <c r="C40" s="12">
        <f>ROUND(1/12*5%,5)</f>
        <v>4.1700000000000001E-3</v>
      </c>
      <c r="D40" s="54">
        <f>ROUND($D$13*C40,2)</f>
        <v>10.42</v>
      </c>
    </row>
    <row r="41" spans="1:4" ht="25" customHeight="1" x14ac:dyDescent="0.35">
      <c r="A41" s="196" t="s">
        <v>32</v>
      </c>
      <c r="B41" s="197"/>
      <c r="C41" s="50">
        <f>ROUND(0.02*(1/12),5)</f>
        <v>1.67E-3</v>
      </c>
      <c r="D41" s="42">
        <f>ROUND($D$13*C41,2)</f>
        <v>4.17</v>
      </c>
    </row>
    <row r="42" spans="1:4" ht="25" customHeight="1" x14ac:dyDescent="0.35">
      <c r="A42" s="210" t="s">
        <v>33</v>
      </c>
      <c r="B42" s="211"/>
      <c r="C42" s="15">
        <f>ROUND(40%*8%,5)</f>
        <v>3.2000000000000001E-2</v>
      </c>
      <c r="D42" s="54">
        <f>ROUND($D$13*C42,2)</f>
        <v>79.95</v>
      </c>
    </row>
    <row r="43" spans="1:4" x14ac:dyDescent="0.35">
      <c r="A43" s="198" t="s">
        <v>34</v>
      </c>
      <c r="B43" s="199"/>
      <c r="C43" s="30">
        <f>ROUND(SUM(C40:C42),5)</f>
        <v>3.7839999999999999E-2</v>
      </c>
      <c r="D43" s="29">
        <f>ROUND(SUM(D40:D42),2)</f>
        <v>94.54</v>
      </c>
    </row>
    <row r="44" spans="1:4" x14ac:dyDescent="0.35">
      <c r="A44" s="20"/>
      <c r="B44" s="20"/>
      <c r="C44" s="8"/>
      <c r="D44" s="7"/>
    </row>
    <row r="45" spans="1:4" x14ac:dyDescent="0.35">
      <c r="A45" s="207" t="s">
        <v>35</v>
      </c>
      <c r="B45" s="208"/>
      <c r="C45" s="90" t="s">
        <v>6</v>
      </c>
      <c r="D45" s="90" t="s">
        <v>7</v>
      </c>
    </row>
    <row r="46" spans="1:4" ht="29" customHeight="1" x14ac:dyDescent="0.35">
      <c r="A46" s="176" t="s">
        <v>36</v>
      </c>
      <c r="B46" s="178"/>
      <c r="C46" s="14">
        <f>ROUND(C25*C37,5)</f>
        <v>9.3460000000000001E-2</v>
      </c>
      <c r="D46" s="5">
        <f>ROUND($D$13*C46,2)</f>
        <v>233.51</v>
      </c>
    </row>
    <row r="47" spans="1:4" x14ac:dyDescent="0.35">
      <c r="A47" s="198" t="s">
        <v>37</v>
      </c>
      <c r="B47" s="199"/>
      <c r="C47" s="30">
        <f>ROUND(SUM(C46),5)</f>
        <v>9.3460000000000001E-2</v>
      </c>
      <c r="D47" s="29">
        <f>ROUND(SUM(D46),2)</f>
        <v>233.51</v>
      </c>
    </row>
    <row r="48" spans="1:4" x14ac:dyDescent="0.35">
      <c r="A48" s="20"/>
      <c r="B48" s="20"/>
      <c r="C48" s="8"/>
      <c r="D48" s="7"/>
    </row>
    <row r="49" spans="1:4" x14ac:dyDescent="0.35">
      <c r="A49" s="207" t="s">
        <v>38</v>
      </c>
      <c r="B49" s="208"/>
      <c r="C49" s="90" t="s">
        <v>6</v>
      </c>
      <c r="D49" s="90" t="s">
        <v>7</v>
      </c>
    </row>
    <row r="50" spans="1:4" ht="65.5" customHeight="1" x14ac:dyDescent="0.35">
      <c r="A50" s="176" t="s">
        <v>39</v>
      </c>
      <c r="B50" s="178"/>
      <c r="C50" s="15">
        <f>ROUND(8%*C40,5)</f>
        <v>3.3E-4</v>
      </c>
      <c r="D50" s="5">
        <f>ROUND($D$13*C50,2)</f>
        <v>0.82</v>
      </c>
    </row>
    <row r="51" spans="1:4" x14ac:dyDescent="0.35">
      <c r="A51" s="198" t="s">
        <v>40</v>
      </c>
      <c r="B51" s="199"/>
      <c r="C51" s="30">
        <f>ROUND(SUM(C50:C50),5)</f>
        <v>3.3E-4</v>
      </c>
      <c r="D51" s="29">
        <f>ROUND(SUM(D50:D50),2)</f>
        <v>0.82</v>
      </c>
    </row>
    <row r="52" spans="1:4" x14ac:dyDescent="0.35">
      <c r="A52" s="20"/>
      <c r="B52" s="20"/>
      <c r="C52" s="8"/>
      <c r="D52" s="7"/>
    </row>
    <row r="53" spans="1:4" x14ac:dyDescent="0.35">
      <c r="A53" s="207" t="s">
        <v>41</v>
      </c>
      <c r="B53" s="208"/>
      <c r="C53" s="90" t="s">
        <v>6</v>
      </c>
      <c r="D53" s="90" t="s">
        <v>7</v>
      </c>
    </row>
    <row r="54" spans="1:4" ht="118.5" customHeight="1" x14ac:dyDescent="0.35">
      <c r="A54" s="176" t="s">
        <v>42</v>
      </c>
      <c r="B54" s="178"/>
      <c r="C54" s="14">
        <f>ROUND(C25*(13/12)*(4/12)*2/100,5)</f>
        <v>2.8700000000000002E-3</v>
      </c>
      <c r="D54" s="5">
        <f>ROUND($D$13*C54,2)</f>
        <v>7.17</v>
      </c>
    </row>
    <row r="55" spans="1:4" x14ac:dyDescent="0.35">
      <c r="A55" s="198" t="s">
        <v>43</v>
      </c>
      <c r="B55" s="199"/>
      <c r="C55" s="30">
        <f>ROUND(SUM(C54),5)</f>
        <v>2.8700000000000002E-3</v>
      </c>
      <c r="D55" s="29">
        <f>ROUND(SUM(D54),2)</f>
        <v>7.17</v>
      </c>
    </row>
    <row r="56" spans="1:4" x14ac:dyDescent="0.35">
      <c r="A56" s="198" t="s">
        <v>44</v>
      </c>
      <c r="B56" s="199"/>
      <c r="C56" s="30">
        <f>ROUND(C25+C37+C43+C47+C51+C55,5)</f>
        <v>0.76732999999999996</v>
      </c>
      <c r="D56" s="29">
        <f>ROUND(D25+D37+D43+D47+D51+D55,2)</f>
        <v>1917.17</v>
      </c>
    </row>
    <row r="57" spans="1:4" ht="15" customHeight="1" x14ac:dyDescent="0.35">
      <c r="A57" s="20"/>
      <c r="B57" s="20"/>
      <c r="C57" s="8"/>
      <c r="D57" s="7"/>
    </row>
    <row r="58" spans="1:4" ht="15" customHeight="1" x14ac:dyDescent="0.35">
      <c r="A58" s="198" t="s">
        <v>45</v>
      </c>
      <c r="B58" s="200"/>
      <c r="C58" s="199"/>
      <c r="D58" s="29">
        <f>D13+D56</f>
        <v>4415.6900000000005</v>
      </c>
    </row>
    <row r="59" spans="1:4" ht="15" customHeight="1" x14ac:dyDescent="0.35">
      <c r="A59" s="3"/>
      <c r="B59" s="3"/>
      <c r="C59" s="3"/>
      <c r="D59" s="3"/>
    </row>
    <row r="60" spans="1:4" ht="15" customHeight="1" x14ac:dyDescent="0.35">
      <c r="A60" s="202" t="s">
        <v>72</v>
      </c>
      <c r="B60" s="202"/>
      <c r="C60" s="202"/>
      <c r="D60" s="202"/>
    </row>
    <row r="61" spans="1:4" x14ac:dyDescent="0.35">
      <c r="A61" s="202" t="s">
        <v>46</v>
      </c>
      <c r="B61" s="202"/>
      <c r="C61" s="90" t="s">
        <v>218</v>
      </c>
      <c r="D61" s="92" t="s">
        <v>7</v>
      </c>
    </row>
    <row r="62" spans="1:4" ht="96" customHeight="1" x14ac:dyDescent="0.35">
      <c r="A62" s="206" t="s">
        <v>91</v>
      </c>
      <c r="B62" s="206"/>
      <c r="C62" s="33">
        <v>20</v>
      </c>
      <c r="D62" s="33">
        <f>ROUND(C62*22,2)</f>
        <v>440</v>
      </c>
    </row>
    <row r="63" spans="1:4" ht="29.5" customHeight="1" x14ac:dyDescent="0.35">
      <c r="A63" s="205" t="s">
        <v>78</v>
      </c>
      <c r="B63" s="205"/>
      <c r="C63" s="47">
        <v>350</v>
      </c>
      <c r="D63" s="47">
        <f>C63</f>
        <v>350</v>
      </c>
    </row>
    <row r="64" spans="1:4" ht="39.5" customHeight="1" x14ac:dyDescent="0.35">
      <c r="A64" s="204" t="s">
        <v>96</v>
      </c>
      <c r="B64" s="204"/>
      <c r="C64" s="103">
        <v>0.01</v>
      </c>
      <c r="D64" s="34">
        <f>ROUND(D63*C64,2)*-1</f>
        <v>-3.5</v>
      </c>
    </row>
    <row r="65" spans="1:4" ht="102.5" customHeight="1" x14ac:dyDescent="0.35">
      <c r="A65" s="205" t="s">
        <v>93</v>
      </c>
      <c r="B65" s="205"/>
      <c r="C65" s="102">
        <v>3.8</v>
      </c>
      <c r="D65" s="47">
        <f>ROUND(C65*2*22,2)</f>
        <v>167.2</v>
      </c>
    </row>
    <row r="66" spans="1:4" ht="62" customHeight="1" x14ac:dyDescent="0.35">
      <c r="A66" s="204" t="s">
        <v>94</v>
      </c>
      <c r="B66" s="204"/>
      <c r="C66" s="103">
        <v>0.06</v>
      </c>
      <c r="D66" s="34">
        <f>IF(D11*C66&gt;D65,"-",ROUND(D11*C66,2)*-1)</f>
        <v>-149.91</v>
      </c>
    </row>
    <row r="67" spans="1:4" ht="29.5" customHeight="1" x14ac:dyDescent="0.35">
      <c r="A67" s="205" t="s">
        <v>79</v>
      </c>
      <c r="B67" s="205"/>
      <c r="C67" s="102">
        <v>15</v>
      </c>
      <c r="D67" s="47">
        <f>C67</f>
        <v>15</v>
      </c>
    </row>
    <row r="68" spans="1:4" ht="44.5" customHeight="1" x14ac:dyDescent="0.35">
      <c r="A68" s="206" t="s">
        <v>219</v>
      </c>
      <c r="B68" s="206"/>
      <c r="C68" s="104">
        <v>10</v>
      </c>
      <c r="D68" s="33">
        <f>C68</f>
        <v>10</v>
      </c>
    </row>
    <row r="69" spans="1:4" ht="25.5" customHeight="1" x14ac:dyDescent="0.35">
      <c r="A69" s="205" t="s">
        <v>47</v>
      </c>
      <c r="B69" s="205"/>
      <c r="C69" s="61" t="s">
        <v>60</v>
      </c>
      <c r="D69" s="47">
        <f>'Uniforme Tipo I'!F13</f>
        <v>82.32</v>
      </c>
    </row>
    <row r="70" spans="1:4" ht="25.5" customHeight="1" x14ac:dyDescent="0.35">
      <c r="A70" s="237" t="s">
        <v>265</v>
      </c>
      <c r="B70" s="238"/>
      <c r="C70" s="60" t="s">
        <v>60</v>
      </c>
      <c r="D70" s="35">
        <f>'Manutenção Equip.'!F7</f>
        <v>22.3</v>
      </c>
    </row>
    <row r="71" spans="1:4" ht="25.5" customHeight="1" x14ac:dyDescent="0.35">
      <c r="A71" s="233" t="s">
        <v>279</v>
      </c>
      <c r="B71" s="234"/>
      <c r="C71" s="61" t="s">
        <v>60</v>
      </c>
      <c r="D71" s="45">
        <f>'EPI''s'!F19:F19</f>
        <v>74.796500000000009</v>
      </c>
    </row>
    <row r="72" spans="1:4" ht="15" customHeight="1" x14ac:dyDescent="0.35">
      <c r="A72" s="217" t="s">
        <v>48</v>
      </c>
      <c r="B72" s="217"/>
      <c r="C72" s="217"/>
      <c r="D72" s="29">
        <f>ROUND(SUM(D62:D71),2)</f>
        <v>1008.21</v>
      </c>
    </row>
    <row r="73" spans="1:4" x14ac:dyDescent="0.35">
      <c r="A73" s="20"/>
      <c r="B73" s="20"/>
      <c r="C73" s="20"/>
      <c r="D73" s="7"/>
    </row>
    <row r="74" spans="1:4" ht="30" customHeight="1" x14ac:dyDescent="0.35">
      <c r="A74" s="198" t="s">
        <v>49</v>
      </c>
      <c r="B74" s="200"/>
      <c r="C74" s="199"/>
      <c r="D74" s="29">
        <f>ROUND(D58+D72,2)</f>
        <v>5423.9</v>
      </c>
    </row>
    <row r="75" spans="1:4" x14ac:dyDescent="0.35">
      <c r="A75" s="20"/>
      <c r="B75" s="20"/>
      <c r="C75" s="20"/>
      <c r="D75" s="7"/>
    </row>
    <row r="76" spans="1:4" x14ac:dyDescent="0.35">
      <c r="A76" s="202" t="s">
        <v>88</v>
      </c>
      <c r="B76" s="202"/>
      <c r="C76" s="202"/>
      <c r="D76" s="202"/>
    </row>
    <row r="77" spans="1:4" x14ac:dyDescent="0.35">
      <c r="A77" s="207" t="s">
        <v>50</v>
      </c>
      <c r="B77" s="208"/>
      <c r="C77" s="90" t="s">
        <v>6</v>
      </c>
      <c r="D77" s="90" t="s">
        <v>7</v>
      </c>
    </row>
    <row r="78" spans="1:4" s="1" customFormat="1" ht="30" customHeight="1" x14ac:dyDescent="0.3">
      <c r="A78" s="176" t="s">
        <v>51</v>
      </c>
      <c r="B78" s="178"/>
      <c r="C78" s="13">
        <v>0.05</v>
      </c>
      <c r="D78" s="18">
        <f>ROUND(D74*C78,2)</f>
        <v>271.2</v>
      </c>
    </row>
    <row r="79" spans="1:4" s="1" customFormat="1" ht="30" customHeight="1" x14ac:dyDescent="0.3">
      <c r="A79" s="196" t="s">
        <v>9</v>
      </c>
      <c r="B79" s="197"/>
      <c r="C79" s="41">
        <v>0.1</v>
      </c>
      <c r="D79" s="44">
        <f>ROUND(D74*C79,2)</f>
        <v>542.39</v>
      </c>
    </row>
    <row r="80" spans="1:4" x14ac:dyDescent="0.35">
      <c r="A80" s="198" t="s">
        <v>52</v>
      </c>
      <c r="B80" s="199"/>
      <c r="C80" s="31">
        <f>ROUND(SUM(C78:C79),5)</f>
        <v>0.15</v>
      </c>
      <c r="D80" s="29">
        <f>SUM(D78:D79)</f>
        <v>813.58999999999992</v>
      </c>
    </row>
    <row r="81" spans="1:4" x14ac:dyDescent="0.35">
      <c r="A81" s="20"/>
      <c r="B81" s="20"/>
      <c r="C81" s="6"/>
      <c r="D81" s="7"/>
    </row>
    <row r="82" spans="1:4" ht="30" customHeight="1" x14ac:dyDescent="0.35">
      <c r="A82" s="198" t="s">
        <v>73</v>
      </c>
      <c r="B82" s="200"/>
      <c r="C82" s="199"/>
      <c r="D82" s="29">
        <f>ROUND(D74+D80,2)</f>
        <v>6237.49</v>
      </c>
    </row>
    <row r="83" spans="1:4" x14ac:dyDescent="0.35">
      <c r="A83" s="20"/>
      <c r="B83" s="20"/>
      <c r="C83" s="20"/>
      <c r="D83" s="7"/>
    </row>
    <row r="84" spans="1:4" ht="35.25" customHeight="1" x14ac:dyDescent="0.35">
      <c r="A84" s="235" t="s">
        <v>63</v>
      </c>
      <c r="B84" s="235"/>
      <c r="C84" s="30">
        <f>ROUND(1-(SUM(C87:C89)/1),5)</f>
        <v>0.91349999999999998</v>
      </c>
      <c r="D84" s="29">
        <f>ROUND(D82/C84,2)</f>
        <v>6828.12</v>
      </c>
    </row>
    <row r="85" spans="1:4" x14ac:dyDescent="0.35">
      <c r="A85" s="3"/>
      <c r="B85" s="3"/>
      <c r="C85" s="3"/>
      <c r="D85" s="3"/>
    </row>
    <row r="86" spans="1:4" x14ac:dyDescent="0.35">
      <c r="A86" s="207" t="s">
        <v>53</v>
      </c>
      <c r="B86" s="208"/>
      <c r="C86" s="90" t="s">
        <v>6</v>
      </c>
      <c r="D86" s="90" t="s">
        <v>7</v>
      </c>
    </row>
    <row r="87" spans="1:4" ht="22" customHeight="1" x14ac:dyDescent="0.35">
      <c r="A87" s="176" t="s">
        <v>54</v>
      </c>
      <c r="B87" s="178"/>
      <c r="C87" s="13">
        <v>0.05</v>
      </c>
      <c r="D87" s="5">
        <f>ROUND($D$84*C87,2)</f>
        <v>341.41</v>
      </c>
    </row>
    <row r="88" spans="1:4" ht="22" customHeight="1" x14ac:dyDescent="0.35">
      <c r="A88" s="196" t="s">
        <v>55</v>
      </c>
      <c r="B88" s="197"/>
      <c r="C88" s="41">
        <v>0.03</v>
      </c>
      <c r="D88" s="42">
        <f>ROUND($D$84*C88,2)</f>
        <v>204.84</v>
      </c>
    </row>
    <row r="89" spans="1:4" ht="22" customHeight="1" x14ac:dyDescent="0.35">
      <c r="A89" s="176" t="s">
        <v>56</v>
      </c>
      <c r="B89" s="178"/>
      <c r="C89" s="13">
        <v>6.4999999999999997E-3</v>
      </c>
      <c r="D89" s="5">
        <f>ROUND($D$84*C89,2)</f>
        <v>44.38</v>
      </c>
    </row>
    <row r="90" spans="1:4" x14ac:dyDescent="0.35">
      <c r="A90" s="198" t="s">
        <v>57</v>
      </c>
      <c r="B90" s="199"/>
      <c r="C90" s="30">
        <f>ROUND(SUM(C87:C89),5)</f>
        <v>8.6499999999999994E-2</v>
      </c>
      <c r="D90" s="29">
        <f>ROUND(SUM(D87:D89),2)</f>
        <v>590.63</v>
      </c>
    </row>
    <row r="91" spans="1:4" ht="10" customHeight="1" x14ac:dyDescent="0.35">
      <c r="A91" s="3"/>
      <c r="B91" s="3"/>
      <c r="C91" s="3"/>
      <c r="D91" s="3"/>
    </row>
    <row r="92" spans="1:4" ht="25" customHeight="1" x14ac:dyDescent="0.35">
      <c r="A92" s="198" t="s">
        <v>58</v>
      </c>
      <c r="B92" s="200"/>
      <c r="C92" s="199"/>
      <c r="D92" s="29">
        <f>ROUND(D82+D90,2)</f>
        <v>6828.12</v>
      </c>
    </row>
    <row r="93" spans="1:4" ht="25" customHeight="1" x14ac:dyDescent="0.35">
      <c r="A93" s="198" t="s">
        <v>64</v>
      </c>
      <c r="B93" s="200"/>
      <c r="C93" s="199"/>
      <c r="D93" s="29">
        <f>ROUND(D92*12,2)</f>
        <v>81937.440000000002</v>
      </c>
    </row>
    <row r="94" spans="1:4" ht="10" customHeight="1" x14ac:dyDescent="0.35">
      <c r="A94" s="20"/>
      <c r="B94" s="20"/>
      <c r="C94" s="20"/>
      <c r="D94" s="7"/>
    </row>
    <row r="95" spans="1:4" ht="15" customHeight="1" x14ac:dyDescent="0.35">
      <c r="A95" s="202" t="s">
        <v>59</v>
      </c>
      <c r="B95" s="202"/>
      <c r="C95" s="202"/>
      <c r="D95" s="27" t="s">
        <v>6</v>
      </c>
    </row>
    <row r="96" spans="1:4" ht="15" customHeight="1" x14ac:dyDescent="0.35">
      <c r="A96" s="201" t="s">
        <v>74</v>
      </c>
      <c r="B96" s="201"/>
      <c r="C96" s="201"/>
      <c r="D96" s="17">
        <f>C25</f>
        <v>0.39800000000000002</v>
      </c>
    </row>
    <row r="97" spans="1:4" ht="15" customHeight="1" x14ac:dyDescent="0.35">
      <c r="A97" s="203" t="s">
        <v>29</v>
      </c>
      <c r="B97" s="203"/>
      <c r="C97" s="203"/>
      <c r="D97" s="43">
        <f>C37</f>
        <v>0.23483000000000001</v>
      </c>
    </row>
    <row r="98" spans="1:4" ht="15" customHeight="1" x14ac:dyDescent="0.35">
      <c r="A98" s="201" t="s">
        <v>34</v>
      </c>
      <c r="B98" s="201"/>
      <c r="C98" s="201"/>
      <c r="D98" s="17">
        <f>C43</f>
        <v>3.7839999999999999E-2</v>
      </c>
    </row>
    <row r="99" spans="1:4" ht="15" customHeight="1" x14ac:dyDescent="0.35">
      <c r="A99" s="203" t="s">
        <v>37</v>
      </c>
      <c r="B99" s="203"/>
      <c r="C99" s="203"/>
      <c r="D99" s="43">
        <f>C47</f>
        <v>9.3460000000000001E-2</v>
      </c>
    </row>
    <row r="100" spans="1:4" ht="15" customHeight="1" x14ac:dyDescent="0.35">
      <c r="A100" s="201" t="s">
        <v>40</v>
      </c>
      <c r="B100" s="201"/>
      <c r="C100" s="201"/>
      <c r="D100" s="17">
        <f>C51</f>
        <v>3.3E-4</v>
      </c>
    </row>
    <row r="101" spans="1:4" ht="15" customHeight="1" x14ac:dyDescent="0.35">
      <c r="A101" s="203" t="s">
        <v>43</v>
      </c>
      <c r="B101" s="203"/>
      <c r="C101" s="203"/>
      <c r="D101" s="43">
        <f>C55</f>
        <v>2.8700000000000002E-3</v>
      </c>
    </row>
    <row r="102" spans="1:4" ht="15" customHeight="1" x14ac:dyDescent="0.35">
      <c r="A102" s="236" t="s">
        <v>75</v>
      </c>
      <c r="B102" s="236"/>
      <c r="C102" s="236"/>
      <c r="D102" s="28">
        <f>ROUND(SUM(D96:D101),5)</f>
        <v>0.76732999999999996</v>
      </c>
    </row>
    <row r="103" spans="1:4" ht="10" customHeight="1" x14ac:dyDescent="0.35"/>
    <row r="104" spans="1:4" x14ac:dyDescent="0.35">
      <c r="A104" s="207" t="s">
        <v>268</v>
      </c>
      <c r="B104" s="208"/>
      <c r="C104" s="90" t="s">
        <v>269</v>
      </c>
      <c r="D104" s="27" t="s">
        <v>6</v>
      </c>
    </row>
    <row r="105" spans="1:4" x14ac:dyDescent="0.35">
      <c r="A105" s="212" t="s">
        <v>270</v>
      </c>
      <c r="B105" s="213"/>
      <c r="C105" s="110">
        <f>D13</f>
        <v>2498.52</v>
      </c>
      <c r="D105" s="17">
        <f>ROUND(C105/$C$109,5)</f>
        <v>0.36592000000000002</v>
      </c>
    </row>
    <row r="106" spans="1:4" ht="24.5" customHeight="1" x14ac:dyDescent="0.35">
      <c r="A106" s="229" t="s">
        <v>271</v>
      </c>
      <c r="B106" s="230"/>
      <c r="C106" s="111">
        <f>D56</f>
        <v>1917.17</v>
      </c>
      <c r="D106" s="43">
        <f>ROUND(C106/$C$109,5)</f>
        <v>0.28077999999999997</v>
      </c>
    </row>
    <row r="107" spans="1:4" x14ac:dyDescent="0.35">
      <c r="A107" s="212" t="s">
        <v>272</v>
      </c>
      <c r="B107" s="213"/>
      <c r="C107" s="110">
        <f>D72</f>
        <v>1008.21</v>
      </c>
      <c r="D107" s="17">
        <f>ROUND(C107/$C$109,5)</f>
        <v>0.14766000000000001</v>
      </c>
    </row>
    <row r="108" spans="1:4" x14ac:dyDescent="0.35">
      <c r="A108" s="229" t="s">
        <v>273</v>
      </c>
      <c r="B108" s="230"/>
      <c r="C108" s="111">
        <f>ROUND(D80+D90,2)</f>
        <v>1404.22</v>
      </c>
      <c r="D108" s="43">
        <f>ROUND(C108/$C$109,5)</f>
        <v>0.20565</v>
      </c>
    </row>
    <row r="109" spans="1:4" x14ac:dyDescent="0.35">
      <c r="A109" s="231" t="s">
        <v>274</v>
      </c>
      <c r="B109" s="232"/>
      <c r="C109" s="112">
        <f>ROUND(SUM(C105:C108),2)</f>
        <v>6828.12</v>
      </c>
      <c r="D109" s="30">
        <f>ROUND(SUM(D105:D108),5)</f>
        <v>1.0000100000000001</v>
      </c>
    </row>
  </sheetData>
  <mergeCells count="92">
    <mergeCell ref="A104:B104"/>
    <mergeCell ref="A90:B90"/>
    <mergeCell ref="A92:C92"/>
    <mergeCell ref="A93:C93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5:B105"/>
    <mergeCell ref="A106:B106"/>
    <mergeCell ref="A107:B107"/>
    <mergeCell ref="A108:B108"/>
    <mergeCell ref="A109:B109"/>
    <mergeCell ref="A87:B87"/>
    <mergeCell ref="A88:B88"/>
    <mergeCell ref="A89:B89"/>
    <mergeCell ref="A74:C74"/>
    <mergeCell ref="A76:D76"/>
    <mergeCell ref="A77:B77"/>
    <mergeCell ref="A78:B78"/>
    <mergeCell ref="A79:B79"/>
    <mergeCell ref="A80:B80"/>
    <mergeCell ref="A82:C82"/>
    <mergeCell ref="A84:B84"/>
    <mergeCell ref="A86:B86"/>
    <mergeCell ref="A69:B69"/>
    <mergeCell ref="A70:B70"/>
    <mergeCell ref="A72:C72"/>
    <mergeCell ref="A60:D60"/>
    <mergeCell ref="A61:B61"/>
    <mergeCell ref="A62:B62"/>
    <mergeCell ref="A63:B63"/>
    <mergeCell ref="A65:B65"/>
    <mergeCell ref="A66:B66"/>
    <mergeCell ref="A64:B64"/>
    <mergeCell ref="A71:B71"/>
    <mergeCell ref="A67:B67"/>
    <mergeCell ref="A58:C58"/>
    <mergeCell ref="A46:B46"/>
    <mergeCell ref="A47:B47"/>
    <mergeCell ref="A49:B49"/>
    <mergeCell ref="A68:B68"/>
    <mergeCell ref="A51:B51"/>
    <mergeCell ref="A53:B53"/>
    <mergeCell ref="A54:B54"/>
    <mergeCell ref="A55:B55"/>
    <mergeCell ref="A56:B56"/>
    <mergeCell ref="A31:B31"/>
    <mergeCell ref="A32:B32"/>
    <mergeCell ref="A33:B33"/>
    <mergeCell ref="A50:B50"/>
    <mergeCell ref="A40:B40"/>
    <mergeCell ref="A41:B41"/>
    <mergeCell ref="A42:B42"/>
    <mergeCell ref="A43:B43"/>
    <mergeCell ref="A45:B45"/>
    <mergeCell ref="A34:B34"/>
    <mergeCell ref="A35:B35"/>
    <mergeCell ref="A36:B36"/>
    <mergeCell ref="A37:B37"/>
    <mergeCell ref="A39:B39"/>
    <mergeCell ref="A25:B25"/>
    <mergeCell ref="A27:B27"/>
    <mergeCell ref="A28:B28"/>
    <mergeCell ref="A29:B29"/>
    <mergeCell ref="A30:B30"/>
    <mergeCell ref="A23:B23"/>
    <mergeCell ref="A24:B24"/>
    <mergeCell ref="A13:C13"/>
    <mergeCell ref="A15:D15"/>
    <mergeCell ref="A16:B16"/>
    <mergeCell ref="A17:B17"/>
    <mergeCell ref="A18:B18"/>
    <mergeCell ref="B6:D6"/>
    <mergeCell ref="A19:B19"/>
    <mergeCell ref="A20:B20"/>
    <mergeCell ref="A21:B21"/>
    <mergeCell ref="A22:B22"/>
    <mergeCell ref="A8:D8"/>
    <mergeCell ref="A9:D9"/>
    <mergeCell ref="A10:B10"/>
    <mergeCell ref="A11:B11"/>
    <mergeCell ref="A12:B12"/>
    <mergeCell ref="A1:D1"/>
    <mergeCell ref="B2:D2"/>
    <mergeCell ref="B3:D3"/>
    <mergeCell ref="B4:D4"/>
    <mergeCell ref="B5:D5"/>
  </mergeCells>
  <pageMargins left="0.23622047244094491" right="0.23622047244094491" top="1.3385826771653544" bottom="0.74803149606299213" header="0.9055118110236221" footer="0.31496062992125984"/>
  <pageSetup fitToHeight="0" orientation="landscape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F198E-8A30-432C-A2F9-265BAB3EB5AC}">
  <sheetPr codeName="Planilha18">
    <pageSetUpPr fitToPage="1"/>
  </sheetPr>
  <dimension ref="A1:D109"/>
  <sheetViews>
    <sheetView view="pageBreakPreview" zoomScaleNormal="100" zoomScaleSheetLayoutView="100" workbookViewId="0">
      <selection activeCell="G4" sqref="G4"/>
    </sheetView>
  </sheetViews>
  <sheetFormatPr defaultRowHeight="14.5" x14ac:dyDescent="0.35"/>
  <cols>
    <col min="1" max="1" width="33.453125" customWidth="1"/>
    <col min="2" max="2" width="14.54296875" customWidth="1"/>
    <col min="3" max="3" width="10.81640625" customWidth="1"/>
    <col min="4" max="4" width="12.26953125" customWidth="1"/>
  </cols>
  <sheetData>
    <row r="1" spans="1:4" ht="26" customHeight="1" x14ac:dyDescent="0.35">
      <c r="A1" s="218" t="s">
        <v>0</v>
      </c>
      <c r="B1" s="218"/>
      <c r="C1" s="218"/>
      <c r="D1" s="218"/>
    </row>
    <row r="2" spans="1:4" ht="30.5" customHeight="1" x14ac:dyDescent="0.35">
      <c r="A2" s="23" t="s">
        <v>2</v>
      </c>
      <c r="B2" s="214" t="str">
        <f>'Quantidade de Cargo'!A16</f>
        <v>Técnico de Suporte I</v>
      </c>
      <c r="C2" s="215"/>
      <c r="D2" s="216"/>
    </row>
    <row r="3" spans="1:4" ht="15" customHeight="1" x14ac:dyDescent="0.35">
      <c r="A3" s="23" t="s">
        <v>61</v>
      </c>
      <c r="B3" s="219" t="str">
        <f>'Salario Base'!B16</f>
        <v>2624-10</v>
      </c>
      <c r="C3" s="220"/>
      <c r="D3" s="221"/>
    </row>
    <row r="4" spans="1:4" ht="15" customHeight="1" x14ac:dyDescent="0.35">
      <c r="A4" s="24" t="s">
        <v>1</v>
      </c>
      <c r="B4" s="214" t="s">
        <v>143</v>
      </c>
      <c r="C4" s="215"/>
      <c r="D4" s="216"/>
    </row>
    <row r="5" spans="1:4" ht="26" x14ac:dyDescent="0.35">
      <c r="A5" s="24" t="s">
        <v>3</v>
      </c>
      <c r="B5" s="222">
        <v>1</v>
      </c>
      <c r="C5" s="220"/>
      <c r="D5" s="221"/>
    </row>
    <row r="6" spans="1:4" ht="65.5" customHeight="1" x14ac:dyDescent="0.35">
      <c r="A6" s="24" t="s">
        <v>62</v>
      </c>
      <c r="B6" s="214" t="s">
        <v>217</v>
      </c>
      <c r="C6" s="215"/>
      <c r="D6" s="216"/>
    </row>
    <row r="7" spans="1:4" ht="15" customHeight="1" x14ac:dyDescent="0.35">
      <c r="A7" s="2"/>
      <c r="B7" s="16"/>
      <c r="C7" s="3"/>
      <c r="D7" s="3"/>
    </row>
    <row r="8" spans="1:4" x14ac:dyDescent="0.35">
      <c r="A8" s="223" t="s">
        <v>4</v>
      </c>
      <c r="B8" s="223"/>
      <c r="C8" s="223"/>
      <c r="D8" s="223"/>
    </row>
    <row r="9" spans="1:4" x14ac:dyDescent="0.35">
      <c r="A9" s="224" t="s">
        <v>70</v>
      </c>
      <c r="B9" s="225"/>
      <c r="C9" s="225"/>
      <c r="D9" s="226"/>
    </row>
    <row r="10" spans="1:4" x14ac:dyDescent="0.35">
      <c r="A10" s="227" t="s">
        <v>5</v>
      </c>
      <c r="B10" s="228"/>
      <c r="C10" s="90" t="s">
        <v>6</v>
      </c>
      <c r="D10" s="90" t="s">
        <v>7</v>
      </c>
    </row>
    <row r="11" spans="1:4" ht="40.5" customHeight="1" x14ac:dyDescent="0.35">
      <c r="A11" s="176" t="s">
        <v>8</v>
      </c>
      <c r="B11" s="178"/>
      <c r="C11" s="91" t="s">
        <v>60</v>
      </c>
      <c r="D11" s="4">
        <f>'Salario Base'!D19</f>
        <v>2832.23</v>
      </c>
    </row>
    <row r="12" spans="1:4" ht="15" customHeight="1" x14ac:dyDescent="0.35">
      <c r="A12" s="229" t="s">
        <v>66</v>
      </c>
      <c r="B12" s="230"/>
      <c r="C12" s="53"/>
      <c r="D12" s="42">
        <f>C12*D11/100</f>
        <v>0</v>
      </c>
    </row>
    <row r="13" spans="1:4" x14ac:dyDescent="0.35">
      <c r="A13" s="217" t="s">
        <v>20</v>
      </c>
      <c r="B13" s="217"/>
      <c r="C13" s="217"/>
      <c r="D13" s="29">
        <f>ROUND(SUM(D11:D12),2)</f>
        <v>2832.23</v>
      </c>
    </row>
    <row r="14" spans="1:4" x14ac:dyDescent="0.35">
      <c r="A14" s="3"/>
      <c r="B14" s="3"/>
      <c r="C14" s="3"/>
      <c r="D14" s="3"/>
    </row>
    <row r="15" spans="1:4" x14ac:dyDescent="0.35">
      <c r="A15" s="202" t="s">
        <v>71</v>
      </c>
      <c r="B15" s="202"/>
      <c r="C15" s="202"/>
      <c r="D15" s="202"/>
    </row>
    <row r="16" spans="1:4" x14ac:dyDescent="0.35">
      <c r="A16" s="202" t="s">
        <v>10</v>
      </c>
      <c r="B16" s="202"/>
      <c r="C16" s="90" t="s">
        <v>6</v>
      </c>
      <c r="D16" s="90" t="s">
        <v>7</v>
      </c>
    </row>
    <row r="17" spans="1:4" x14ac:dyDescent="0.35">
      <c r="A17" s="176" t="s">
        <v>11</v>
      </c>
      <c r="B17" s="178"/>
      <c r="C17" s="11">
        <v>0.2</v>
      </c>
      <c r="D17" s="5">
        <f>ROUND($D$13*C17,2)</f>
        <v>566.45000000000005</v>
      </c>
    </row>
    <row r="18" spans="1:4" x14ac:dyDescent="0.35">
      <c r="A18" s="196" t="s">
        <v>12</v>
      </c>
      <c r="B18" s="197"/>
      <c r="C18" s="52">
        <v>0.08</v>
      </c>
      <c r="D18" s="42">
        <f t="shared" ref="D18:D24" si="0">ROUND($D$13*C18,2)</f>
        <v>226.58</v>
      </c>
    </row>
    <row r="19" spans="1:4" x14ac:dyDescent="0.35">
      <c r="A19" s="176" t="s">
        <v>13</v>
      </c>
      <c r="B19" s="178"/>
      <c r="C19" s="11">
        <v>1.4999999999999999E-2</v>
      </c>
      <c r="D19" s="5">
        <f t="shared" si="0"/>
        <v>42.48</v>
      </c>
    </row>
    <row r="20" spans="1:4" ht="25.5" customHeight="1" x14ac:dyDescent="0.35">
      <c r="A20" s="196" t="s">
        <v>14</v>
      </c>
      <c r="B20" s="197"/>
      <c r="C20" s="52">
        <v>0.01</v>
      </c>
      <c r="D20" s="42">
        <f t="shared" si="0"/>
        <v>28.32</v>
      </c>
    </row>
    <row r="21" spans="1:4" ht="28.5" customHeight="1" x14ac:dyDescent="0.35">
      <c r="A21" s="176" t="s">
        <v>15</v>
      </c>
      <c r="B21" s="178"/>
      <c r="C21" s="11">
        <v>2E-3</v>
      </c>
      <c r="D21" s="5">
        <f t="shared" si="0"/>
        <v>5.66</v>
      </c>
    </row>
    <row r="22" spans="1:4" x14ac:dyDescent="0.35">
      <c r="A22" s="196" t="s">
        <v>16</v>
      </c>
      <c r="B22" s="197"/>
      <c r="C22" s="52">
        <v>6.0000000000000001E-3</v>
      </c>
      <c r="D22" s="42">
        <f t="shared" si="0"/>
        <v>16.989999999999998</v>
      </c>
    </row>
    <row r="23" spans="1:4" x14ac:dyDescent="0.35">
      <c r="A23" s="212" t="s">
        <v>17</v>
      </c>
      <c r="B23" s="213"/>
      <c r="C23" s="11">
        <v>2.5000000000000001E-2</v>
      </c>
      <c r="D23" s="5">
        <f t="shared" si="0"/>
        <v>70.81</v>
      </c>
    </row>
    <row r="24" spans="1:4" ht="39.75" customHeight="1" x14ac:dyDescent="0.35">
      <c r="A24" s="229" t="s">
        <v>18</v>
      </c>
      <c r="B24" s="230"/>
      <c r="C24" s="50">
        <v>0.04</v>
      </c>
      <c r="D24" s="42">
        <f t="shared" si="0"/>
        <v>113.29</v>
      </c>
    </row>
    <row r="25" spans="1:4" x14ac:dyDescent="0.35">
      <c r="A25" s="198" t="s">
        <v>19</v>
      </c>
      <c r="B25" s="199"/>
      <c r="C25" s="30">
        <f>ROUND(SUM(C17:C24),5)</f>
        <v>0.378</v>
      </c>
      <c r="D25" s="29">
        <f>ROUND(SUM(D17:D24),2)</f>
        <v>1070.58</v>
      </c>
    </row>
    <row r="26" spans="1:4" x14ac:dyDescent="0.35">
      <c r="A26" s="20"/>
      <c r="B26" s="20"/>
      <c r="C26" s="6"/>
      <c r="D26" s="7"/>
    </row>
    <row r="27" spans="1:4" x14ac:dyDescent="0.35">
      <c r="A27" s="202" t="s">
        <v>21</v>
      </c>
      <c r="B27" s="202"/>
      <c r="C27" s="90" t="s">
        <v>6</v>
      </c>
      <c r="D27" s="90" t="s">
        <v>7</v>
      </c>
    </row>
    <row r="28" spans="1:4" ht="25" customHeight="1" x14ac:dyDescent="0.35">
      <c r="A28" s="212" t="s">
        <v>22</v>
      </c>
      <c r="B28" s="213"/>
      <c r="C28" s="9">
        <f>ROUND(1/12,5)</f>
        <v>8.3330000000000001E-2</v>
      </c>
      <c r="D28" s="5">
        <f>ROUND($D$13*C28,2)</f>
        <v>236.01</v>
      </c>
    </row>
    <row r="29" spans="1:4" ht="25" customHeight="1" x14ac:dyDescent="0.35">
      <c r="A29" s="196" t="s">
        <v>263</v>
      </c>
      <c r="B29" s="197"/>
      <c r="C29" s="51">
        <f>ROUND((1/3)/12,5)</f>
        <v>2.7779999999999999E-2</v>
      </c>
      <c r="D29" s="42">
        <f t="shared" ref="D29:D36" si="1">ROUND($D$13*C29,2)</f>
        <v>78.680000000000007</v>
      </c>
    </row>
    <row r="30" spans="1:4" ht="25" customHeight="1" x14ac:dyDescent="0.35">
      <c r="A30" s="176" t="s">
        <v>23</v>
      </c>
      <c r="B30" s="178"/>
      <c r="C30" s="10">
        <f>ROUND((((100% / 30) * 7) / 12),5)</f>
        <v>1.9439999999999999E-2</v>
      </c>
      <c r="D30" s="5">
        <f t="shared" si="1"/>
        <v>55.06</v>
      </c>
    </row>
    <row r="31" spans="1:4" ht="25" customHeight="1" x14ac:dyDescent="0.35">
      <c r="A31" s="196" t="s">
        <v>24</v>
      </c>
      <c r="B31" s="197"/>
      <c r="C31" s="51">
        <f>ROUND((5/30)/12,5)</f>
        <v>1.389E-2</v>
      </c>
      <c r="D31" s="42">
        <f t="shared" si="1"/>
        <v>39.340000000000003</v>
      </c>
    </row>
    <row r="32" spans="1:4" ht="25" customHeight="1" x14ac:dyDescent="0.35">
      <c r="A32" s="176" t="s">
        <v>25</v>
      </c>
      <c r="B32" s="178"/>
      <c r="C32" s="10">
        <f>ROUND(((15/30/12)*0.08),5)</f>
        <v>3.3300000000000001E-3</v>
      </c>
      <c r="D32" s="5">
        <f t="shared" si="1"/>
        <v>9.43</v>
      </c>
    </row>
    <row r="33" spans="1:4" ht="25" customHeight="1" x14ac:dyDescent="0.35">
      <c r="A33" s="196" t="s">
        <v>26</v>
      </c>
      <c r="B33" s="197"/>
      <c r="C33" s="51">
        <f>ROUND((1/30)/12,5)</f>
        <v>2.7799999999999999E-3</v>
      </c>
      <c r="D33" s="42">
        <f t="shared" si="1"/>
        <v>7.87</v>
      </c>
    </row>
    <row r="34" spans="1:4" ht="25" customHeight="1" x14ac:dyDescent="0.35">
      <c r="A34" s="176" t="s">
        <v>27</v>
      </c>
      <c r="B34" s="178"/>
      <c r="C34" s="10">
        <f>ROUND(0.1111*0.02*0.333,5)</f>
        <v>7.3999999999999999E-4</v>
      </c>
      <c r="D34" s="5">
        <f t="shared" si="1"/>
        <v>2.1</v>
      </c>
    </row>
    <row r="35" spans="1:4" ht="25" customHeight="1" x14ac:dyDescent="0.35">
      <c r="A35" s="196" t="s">
        <v>28</v>
      </c>
      <c r="B35" s="197"/>
      <c r="C35" s="51">
        <f>ROUND(((5/30)/12)*0.015,5)</f>
        <v>2.1000000000000001E-4</v>
      </c>
      <c r="D35" s="42">
        <f t="shared" si="1"/>
        <v>0.59</v>
      </c>
    </row>
    <row r="36" spans="1:4" ht="25" customHeight="1" x14ac:dyDescent="0.35">
      <c r="A36" s="176" t="s">
        <v>264</v>
      </c>
      <c r="B36" s="178"/>
      <c r="C36" s="10">
        <f>ROUND(1/12,5)</f>
        <v>8.3330000000000001E-2</v>
      </c>
      <c r="D36" s="5">
        <f t="shared" si="1"/>
        <v>236.01</v>
      </c>
    </row>
    <row r="37" spans="1:4" x14ac:dyDescent="0.35">
      <c r="A37" s="198" t="s">
        <v>29</v>
      </c>
      <c r="B37" s="199"/>
      <c r="C37" s="30">
        <f>ROUND(SUM(C28:C36),5)</f>
        <v>0.23483000000000001</v>
      </c>
      <c r="D37" s="29">
        <f>ROUND(SUM(D28:D36),2)</f>
        <v>665.09</v>
      </c>
    </row>
    <row r="38" spans="1:4" x14ac:dyDescent="0.35">
      <c r="A38" s="20"/>
      <c r="B38" s="20"/>
      <c r="C38" s="8"/>
      <c r="D38" s="7"/>
    </row>
    <row r="39" spans="1:4" x14ac:dyDescent="0.35">
      <c r="A39" s="207" t="s">
        <v>30</v>
      </c>
      <c r="B39" s="208"/>
      <c r="C39" s="90" t="s">
        <v>6</v>
      </c>
      <c r="D39" s="90" t="s">
        <v>7</v>
      </c>
    </row>
    <row r="40" spans="1:4" ht="25" customHeight="1" x14ac:dyDescent="0.35">
      <c r="A40" s="210" t="s">
        <v>31</v>
      </c>
      <c r="B40" s="211"/>
      <c r="C40" s="12">
        <f>ROUND(1/12*5%,5)</f>
        <v>4.1700000000000001E-3</v>
      </c>
      <c r="D40" s="54">
        <f>ROUND($D$13*C40,2)</f>
        <v>11.81</v>
      </c>
    </row>
    <row r="41" spans="1:4" ht="25" customHeight="1" x14ac:dyDescent="0.35">
      <c r="A41" s="196" t="s">
        <v>32</v>
      </c>
      <c r="B41" s="197"/>
      <c r="C41" s="50">
        <f>ROUND(0.02*(1/12),5)</f>
        <v>1.67E-3</v>
      </c>
      <c r="D41" s="42">
        <f>ROUND($D$13*C41,2)</f>
        <v>4.7300000000000004</v>
      </c>
    </row>
    <row r="42" spans="1:4" ht="25" customHeight="1" x14ac:dyDescent="0.35">
      <c r="A42" s="210" t="s">
        <v>33</v>
      </c>
      <c r="B42" s="211"/>
      <c r="C42" s="15">
        <f>ROUND(40%*8%,5)</f>
        <v>3.2000000000000001E-2</v>
      </c>
      <c r="D42" s="54">
        <f>ROUND($D$13*C42,2)</f>
        <v>90.63</v>
      </c>
    </row>
    <row r="43" spans="1:4" x14ac:dyDescent="0.35">
      <c r="A43" s="198" t="s">
        <v>34</v>
      </c>
      <c r="B43" s="199"/>
      <c r="C43" s="30">
        <f>ROUND(SUM(C40:C42),5)</f>
        <v>3.7839999999999999E-2</v>
      </c>
      <c r="D43" s="29">
        <f>ROUND(SUM(D40:D42),2)</f>
        <v>107.17</v>
      </c>
    </row>
    <row r="44" spans="1:4" x14ac:dyDescent="0.35">
      <c r="A44" s="20"/>
      <c r="B44" s="20"/>
      <c r="C44" s="8"/>
      <c r="D44" s="7"/>
    </row>
    <row r="45" spans="1:4" x14ac:dyDescent="0.35">
      <c r="A45" s="207" t="s">
        <v>35</v>
      </c>
      <c r="B45" s="208"/>
      <c r="C45" s="90" t="s">
        <v>6</v>
      </c>
      <c r="D45" s="90" t="s">
        <v>7</v>
      </c>
    </row>
    <row r="46" spans="1:4" ht="29" customHeight="1" x14ac:dyDescent="0.35">
      <c r="A46" s="176" t="s">
        <v>36</v>
      </c>
      <c r="B46" s="178"/>
      <c r="C46" s="14">
        <f>ROUND(C25*C37,5)</f>
        <v>8.8770000000000002E-2</v>
      </c>
      <c r="D46" s="5">
        <f>ROUND($D$13*C46,2)</f>
        <v>251.42</v>
      </c>
    </row>
    <row r="47" spans="1:4" x14ac:dyDescent="0.35">
      <c r="A47" s="198" t="s">
        <v>37</v>
      </c>
      <c r="B47" s="199"/>
      <c r="C47" s="30">
        <f>ROUND(SUM(C46),5)</f>
        <v>8.8770000000000002E-2</v>
      </c>
      <c r="D47" s="29">
        <f>ROUND(SUM(D46),2)</f>
        <v>251.42</v>
      </c>
    </row>
    <row r="48" spans="1:4" x14ac:dyDescent="0.35">
      <c r="A48" s="20"/>
      <c r="B48" s="20"/>
      <c r="C48" s="8"/>
      <c r="D48" s="7"/>
    </row>
    <row r="49" spans="1:4" x14ac:dyDescent="0.35">
      <c r="A49" s="207" t="s">
        <v>38</v>
      </c>
      <c r="B49" s="208"/>
      <c r="C49" s="90" t="s">
        <v>6</v>
      </c>
      <c r="D49" s="90" t="s">
        <v>7</v>
      </c>
    </row>
    <row r="50" spans="1:4" ht="65.5" customHeight="1" x14ac:dyDescent="0.35">
      <c r="A50" s="176" t="s">
        <v>39</v>
      </c>
      <c r="B50" s="178"/>
      <c r="C50" s="15">
        <f>ROUND(8%*C40,5)</f>
        <v>3.3E-4</v>
      </c>
      <c r="D50" s="5">
        <f>ROUND($D$13*C50,2)</f>
        <v>0.93</v>
      </c>
    </row>
    <row r="51" spans="1:4" x14ac:dyDescent="0.35">
      <c r="A51" s="198" t="s">
        <v>40</v>
      </c>
      <c r="B51" s="199"/>
      <c r="C51" s="30">
        <f>ROUND(SUM(C50:C50),5)</f>
        <v>3.3E-4</v>
      </c>
      <c r="D51" s="29">
        <f>ROUND(SUM(D50:D50),2)</f>
        <v>0.93</v>
      </c>
    </row>
    <row r="52" spans="1:4" x14ac:dyDescent="0.35">
      <c r="A52" s="20"/>
      <c r="B52" s="20"/>
      <c r="C52" s="8"/>
      <c r="D52" s="7"/>
    </row>
    <row r="53" spans="1:4" x14ac:dyDescent="0.35">
      <c r="A53" s="207" t="s">
        <v>41</v>
      </c>
      <c r="B53" s="208"/>
      <c r="C53" s="90" t="s">
        <v>6</v>
      </c>
      <c r="D53" s="90" t="s">
        <v>7</v>
      </c>
    </row>
    <row r="54" spans="1:4" ht="113.5" customHeight="1" x14ac:dyDescent="0.35">
      <c r="A54" s="176" t="s">
        <v>42</v>
      </c>
      <c r="B54" s="178"/>
      <c r="C54" s="14">
        <f>ROUND(C25*(13/12)*(4/12)*2/100,5)</f>
        <v>2.7299999999999998E-3</v>
      </c>
      <c r="D54" s="5">
        <f>ROUND($D$13*C54,2)</f>
        <v>7.73</v>
      </c>
    </row>
    <row r="55" spans="1:4" x14ac:dyDescent="0.35">
      <c r="A55" s="198" t="s">
        <v>43</v>
      </c>
      <c r="B55" s="199"/>
      <c r="C55" s="30">
        <f>ROUND(SUM(C54),5)</f>
        <v>2.7299999999999998E-3</v>
      </c>
      <c r="D55" s="29">
        <f>ROUND(SUM(D54),2)</f>
        <v>7.73</v>
      </c>
    </row>
    <row r="56" spans="1:4" x14ac:dyDescent="0.35">
      <c r="A56" s="198" t="s">
        <v>44</v>
      </c>
      <c r="B56" s="199"/>
      <c r="C56" s="30">
        <f>ROUND(C25+C37+C43+C47+C51+C55,5)</f>
        <v>0.74250000000000005</v>
      </c>
      <c r="D56" s="29">
        <f>ROUND(D25+D37+D43+D47+D51+D55,2)</f>
        <v>2102.92</v>
      </c>
    </row>
    <row r="57" spans="1:4" ht="15" customHeight="1" x14ac:dyDescent="0.35">
      <c r="A57" s="20"/>
      <c r="B57" s="20"/>
      <c r="C57" s="8"/>
      <c r="D57" s="7"/>
    </row>
    <row r="58" spans="1:4" ht="15" customHeight="1" x14ac:dyDescent="0.35">
      <c r="A58" s="198" t="s">
        <v>45</v>
      </c>
      <c r="B58" s="200"/>
      <c r="C58" s="199"/>
      <c r="D58" s="29">
        <f>D13+D56</f>
        <v>4935.1499999999996</v>
      </c>
    </row>
    <row r="59" spans="1:4" ht="15" customHeight="1" x14ac:dyDescent="0.35">
      <c r="A59" s="3"/>
      <c r="B59" s="3"/>
      <c r="C59" s="3"/>
      <c r="D59" s="3"/>
    </row>
    <row r="60" spans="1:4" ht="15" customHeight="1" x14ac:dyDescent="0.35">
      <c r="A60" s="202" t="s">
        <v>72</v>
      </c>
      <c r="B60" s="202"/>
      <c r="C60" s="202"/>
      <c r="D60" s="202"/>
    </row>
    <row r="61" spans="1:4" x14ac:dyDescent="0.35">
      <c r="A61" s="202" t="s">
        <v>46</v>
      </c>
      <c r="B61" s="202"/>
      <c r="C61" s="90" t="s">
        <v>218</v>
      </c>
      <c r="D61" s="92" t="s">
        <v>7</v>
      </c>
    </row>
    <row r="62" spans="1:4" ht="96" customHeight="1" x14ac:dyDescent="0.35">
      <c r="A62" s="206" t="s">
        <v>91</v>
      </c>
      <c r="B62" s="206"/>
      <c r="C62" s="33">
        <v>15</v>
      </c>
      <c r="D62" s="33">
        <f>ROUND(C62*22,2)</f>
        <v>330</v>
      </c>
    </row>
    <row r="63" spans="1:4" ht="53.5" customHeight="1" x14ac:dyDescent="0.35">
      <c r="A63" s="209" t="s">
        <v>92</v>
      </c>
      <c r="B63" s="209"/>
      <c r="C63" s="101">
        <v>0.1</v>
      </c>
      <c r="D63" s="49">
        <f>ROUND(D62*C63,2)*-1</f>
        <v>-33</v>
      </c>
    </row>
    <row r="64" spans="1:4" ht="29.5" customHeight="1" x14ac:dyDescent="0.35">
      <c r="A64" s="206" t="s">
        <v>78</v>
      </c>
      <c r="B64" s="206"/>
      <c r="C64" s="33">
        <v>100</v>
      </c>
      <c r="D64" s="33">
        <f>C64</f>
        <v>100</v>
      </c>
    </row>
    <row r="65" spans="1:4" ht="102.5" customHeight="1" x14ac:dyDescent="0.35">
      <c r="A65" s="205" t="s">
        <v>93</v>
      </c>
      <c r="B65" s="205"/>
      <c r="C65" s="102">
        <v>3.8</v>
      </c>
      <c r="D65" s="47">
        <f>ROUND(C65*2*22,2)</f>
        <v>167.2</v>
      </c>
    </row>
    <row r="66" spans="1:4" ht="62" customHeight="1" x14ac:dyDescent="0.35">
      <c r="A66" s="204" t="s">
        <v>94</v>
      </c>
      <c r="B66" s="204"/>
      <c r="C66" s="103">
        <v>0.06</v>
      </c>
      <c r="D66" s="34" t="str">
        <f>IF(D11*C66&gt;D65,"-",ROUND(D11*C66,2)*-1)</f>
        <v>-</v>
      </c>
    </row>
    <row r="67" spans="1:4" ht="29.5" customHeight="1" x14ac:dyDescent="0.35">
      <c r="A67" s="205" t="s">
        <v>79</v>
      </c>
      <c r="B67" s="205"/>
      <c r="C67" s="102">
        <v>15</v>
      </c>
      <c r="D67" s="47">
        <f>C67</f>
        <v>15</v>
      </c>
    </row>
    <row r="68" spans="1:4" ht="44.5" customHeight="1" x14ac:dyDescent="0.35">
      <c r="A68" s="206" t="s">
        <v>219</v>
      </c>
      <c r="B68" s="206"/>
      <c r="C68" s="104">
        <v>10</v>
      </c>
      <c r="D68" s="33">
        <f>C68</f>
        <v>10</v>
      </c>
    </row>
    <row r="69" spans="1:4" ht="29.5" customHeight="1" x14ac:dyDescent="0.35">
      <c r="A69" s="205" t="s">
        <v>95</v>
      </c>
      <c r="B69" s="205"/>
      <c r="C69" s="102">
        <v>10</v>
      </c>
      <c r="D69" s="47">
        <f>C69</f>
        <v>10</v>
      </c>
    </row>
    <row r="70" spans="1:4" ht="25.5" customHeight="1" x14ac:dyDescent="0.35">
      <c r="A70" s="206" t="s">
        <v>47</v>
      </c>
      <c r="B70" s="206"/>
      <c r="C70" s="60" t="s">
        <v>60</v>
      </c>
      <c r="D70" s="33">
        <f>'Uniforme Tipo I'!F13</f>
        <v>82.32</v>
      </c>
    </row>
    <row r="71" spans="1:4" ht="25.5" customHeight="1" x14ac:dyDescent="0.35">
      <c r="A71" s="233" t="s">
        <v>265</v>
      </c>
      <c r="B71" s="234"/>
      <c r="C71" s="61" t="s">
        <v>60</v>
      </c>
      <c r="D71" s="45">
        <f>'Manutenção Equip.'!F7</f>
        <v>22.3</v>
      </c>
    </row>
    <row r="72" spans="1:4" ht="15" customHeight="1" x14ac:dyDescent="0.35">
      <c r="A72" s="217" t="s">
        <v>48</v>
      </c>
      <c r="B72" s="217"/>
      <c r="C72" s="217"/>
      <c r="D72" s="29">
        <f>ROUND(SUM(D62:D70),2)</f>
        <v>681.52</v>
      </c>
    </row>
    <row r="73" spans="1:4" x14ac:dyDescent="0.35">
      <c r="A73" s="20"/>
      <c r="B73" s="20"/>
      <c r="C73" s="20"/>
      <c r="D73" s="7"/>
    </row>
    <row r="74" spans="1:4" ht="30" customHeight="1" x14ac:dyDescent="0.35">
      <c r="A74" s="198" t="s">
        <v>49</v>
      </c>
      <c r="B74" s="200"/>
      <c r="C74" s="199"/>
      <c r="D74" s="29">
        <f>ROUND(D58+D72,2)</f>
        <v>5616.67</v>
      </c>
    </row>
    <row r="75" spans="1:4" x14ac:dyDescent="0.35">
      <c r="A75" s="20"/>
      <c r="B75" s="20"/>
      <c r="C75" s="20"/>
      <c r="D75" s="7"/>
    </row>
    <row r="76" spans="1:4" x14ac:dyDescent="0.35">
      <c r="A76" s="202" t="s">
        <v>88</v>
      </c>
      <c r="B76" s="202"/>
      <c r="C76" s="202"/>
      <c r="D76" s="202"/>
    </row>
    <row r="77" spans="1:4" x14ac:dyDescent="0.35">
      <c r="A77" s="207" t="s">
        <v>50</v>
      </c>
      <c r="B77" s="208"/>
      <c r="C77" s="90" t="s">
        <v>6</v>
      </c>
      <c r="D77" s="90" t="s">
        <v>7</v>
      </c>
    </row>
    <row r="78" spans="1:4" s="1" customFormat="1" ht="30" customHeight="1" x14ac:dyDescent="0.3">
      <c r="A78" s="176" t="s">
        <v>51</v>
      </c>
      <c r="B78" s="178"/>
      <c r="C78" s="13">
        <v>0.05</v>
      </c>
      <c r="D78" s="18">
        <f>ROUND(D74*C78,2)</f>
        <v>280.83</v>
      </c>
    </row>
    <row r="79" spans="1:4" s="1" customFormat="1" ht="30" customHeight="1" x14ac:dyDescent="0.3">
      <c r="A79" s="196" t="s">
        <v>9</v>
      </c>
      <c r="B79" s="197"/>
      <c r="C79" s="41">
        <v>0.1</v>
      </c>
      <c r="D79" s="44">
        <f>ROUND(D74*C79,2)</f>
        <v>561.66999999999996</v>
      </c>
    </row>
    <row r="80" spans="1:4" x14ac:dyDescent="0.35">
      <c r="A80" s="198" t="s">
        <v>52</v>
      </c>
      <c r="B80" s="199"/>
      <c r="C80" s="31">
        <f>ROUND(SUM(C78:C79),5)</f>
        <v>0.15</v>
      </c>
      <c r="D80" s="29">
        <f>SUM(D78:D79)</f>
        <v>842.5</v>
      </c>
    </row>
    <row r="81" spans="1:4" x14ac:dyDescent="0.35">
      <c r="A81" s="20"/>
      <c r="B81" s="20"/>
      <c r="C81" s="6"/>
      <c r="D81" s="7"/>
    </row>
    <row r="82" spans="1:4" ht="30" customHeight="1" x14ac:dyDescent="0.35">
      <c r="A82" s="198" t="s">
        <v>73</v>
      </c>
      <c r="B82" s="200"/>
      <c r="C82" s="199"/>
      <c r="D82" s="29">
        <f>ROUND(D74+D80,2)</f>
        <v>6459.17</v>
      </c>
    </row>
    <row r="83" spans="1:4" x14ac:dyDescent="0.35">
      <c r="A83" s="20"/>
      <c r="B83" s="20"/>
      <c r="C83" s="20"/>
      <c r="D83" s="7"/>
    </row>
    <row r="84" spans="1:4" ht="35.25" customHeight="1" x14ac:dyDescent="0.35">
      <c r="A84" s="235" t="s">
        <v>63</v>
      </c>
      <c r="B84" s="235"/>
      <c r="C84" s="30">
        <f>ROUND(1-(SUM(C87:C89)/1),5)</f>
        <v>0.91349999999999998</v>
      </c>
      <c r="D84" s="29">
        <f>ROUND(D82/C84,2)</f>
        <v>7070.79</v>
      </c>
    </row>
    <row r="85" spans="1:4" x14ac:dyDescent="0.35">
      <c r="A85" s="3"/>
      <c r="B85" s="3"/>
      <c r="C85" s="3"/>
      <c r="D85" s="3"/>
    </row>
    <row r="86" spans="1:4" x14ac:dyDescent="0.35">
      <c r="A86" s="207" t="s">
        <v>53</v>
      </c>
      <c r="B86" s="208"/>
      <c r="C86" s="90" t="s">
        <v>6</v>
      </c>
      <c r="D86" s="90" t="s">
        <v>7</v>
      </c>
    </row>
    <row r="87" spans="1:4" ht="22" customHeight="1" x14ac:dyDescent="0.35">
      <c r="A87" s="176" t="s">
        <v>54</v>
      </c>
      <c r="B87" s="178"/>
      <c r="C87" s="13">
        <v>0.05</v>
      </c>
      <c r="D87" s="5">
        <f>ROUND($D$84*C87,2)</f>
        <v>353.54</v>
      </c>
    </row>
    <row r="88" spans="1:4" ht="22" customHeight="1" x14ac:dyDescent="0.35">
      <c r="A88" s="196" t="s">
        <v>55</v>
      </c>
      <c r="B88" s="197"/>
      <c r="C88" s="41">
        <v>0.03</v>
      </c>
      <c r="D88" s="42">
        <f>ROUND($D$84*C88,2)</f>
        <v>212.12</v>
      </c>
    </row>
    <row r="89" spans="1:4" ht="22" customHeight="1" x14ac:dyDescent="0.35">
      <c r="A89" s="176" t="s">
        <v>56</v>
      </c>
      <c r="B89" s="178"/>
      <c r="C89" s="13">
        <v>6.4999999999999997E-3</v>
      </c>
      <c r="D89" s="5">
        <f>ROUND($D$84*C89,2)</f>
        <v>45.96</v>
      </c>
    </row>
    <row r="90" spans="1:4" x14ac:dyDescent="0.35">
      <c r="A90" s="198" t="s">
        <v>57</v>
      </c>
      <c r="B90" s="199"/>
      <c r="C90" s="30">
        <f>ROUND(SUM(C87:C89),5)</f>
        <v>8.6499999999999994E-2</v>
      </c>
      <c r="D90" s="29">
        <f>ROUND(SUM(D87:D89),2)</f>
        <v>611.62</v>
      </c>
    </row>
    <row r="91" spans="1:4" ht="10" customHeight="1" x14ac:dyDescent="0.35">
      <c r="A91" s="3"/>
      <c r="B91" s="3"/>
      <c r="C91" s="3"/>
      <c r="D91" s="3"/>
    </row>
    <row r="92" spans="1:4" ht="25" customHeight="1" x14ac:dyDescent="0.35">
      <c r="A92" s="198" t="s">
        <v>58</v>
      </c>
      <c r="B92" s="200"/>
      <c r="C92" s="199"/>
      <c r="D92" s="29">
        <f>ROUND(D82+D90,2)</f>
        <v>7070.79</v>
      </c>
    </row>
    <row r="93" spans="1:4" ht="25" customHeight="1" x14ac:dyDescent="0.35">
      <c r="A93" s="198" t="s">
        <v>64</v>
      </c>
      <c r="B93" s="200"/>
      <c r="C93" s="199"/>
      <c r="D93" s="29">
        <f>ROUND(D92*12,2)</f>
        <v>84849.48</v>
      </c>
    </row>
    <row r="94" spans="1:4" ht="10" customHeight="1" x14ac:dyDescent="0.35">
      <c r="A94" s="20"/>
      <c r="B94" s="20"/>
      <c r="C94" s="20"/>
      <c r="D94" s="7"/>
    </row>
    <row r="95" spans="1:4" ht="15" customHeight="1" x14ac:dyDescent="0.35">
      <c r="A95" s="202" t="s">
        <v>59</v>
      </c>
      <c r="B95" s="202"/>
      <c r="C95" s="202"/>
      <c r="D95" s="27" t="s">
        <v>6</v>
      </c>
    </row>
    <row r="96" spans="1:4" ht="15" customHeight="1" x14ac:dyDescent="0.35">
      <c r="A96" s="201" t="s">
        <v>74</v>
      </c>
      <c r="B96" s="201"/>
      <c r="C96" s="201"/>
      <c r="D96" s="17">
        <f>C25</f>
        <v>0.378</v>
      </c>
    </row>
    <row r="97" spans="1:4" ht="15" customHeight="1" x14ac:dyDescent="0.35">
      <c r="A97" s="203" t="s">
        <v>29</v>
      </c>
      <c r="B97" s="203"/>
      <c r="C97" s="203"/>
      <c r="D97" s="43">
        <f>C37</f>
        <v>0.23483000000000001</v>
      </c>
    </row>
    <row r="98" spans="1:4" ht="15" customHeight="1" x14ac:dyDescent="0.35">
      <c r="A98" s="201" t="s">
        <v>34</v>
      </c>
      <c r="B98" s="201"/>
      <c r="C98" s="201"/>
      <c r="D98" s="17">
        <f>C43</f>
        <v>3.7839999999999999E-2</v>
      </c>
    </row>
    <row r="99" spans="1:4" ht="15" customHeight="1" x14ac:dyDescent="0.35">
      <c r="A99" s="203" t="s">
        <v>37</v>
      </c>
      <c r="B99" s="203"/>
      <c r="C99" s="203"/>
      <c r="D99" s="43">
        <f>C47</f>
        <v>8.8770000000000002E-2</v>
      </c>
    </row>
    <row r="100" spans="1:4" ht="15" customHeight="1" x14ac:dyDescent="0.35">
      <c r="A100" s="201" t="s">
        <v>40</v>
      </c>
      <c r="B100" s="201"/>
      <c r="C100" s="201"/>
      <c r="D100" s="17">
        <f>C51</f>
        <v>3.3E-4</v>
      </c>
    </row>
    <row r="101" spans="1:4" ht="15" customHeight="1" x14ac:dyDescent="0.35">
      <c r="A101" s="203" t="s">
        <v>43</v>
      </c>
      <c r="B101" s="203"/>
      <c r="C101" s="203"/>
      <c r="D101" s="43">
        <f>C55</f>
        <v>2.7299999999999998E-3</v>
      </c>
    </row>
    <row r="102" spans="1:4" ht="15" customHeight="1" x14ac:dyDescent="0.35">
      <c r="A102" s="236" t="s">
        <v>75</v>
      </c>
      <c r="B102" s="236"/>
      <c r="C102" s="236"/>
      <c r="D102" s="28">
        <f>ROUND(SUM(D96:D101),5)</f>
        <v>0.74250000000000005</v>
      </c>
    </row>
    <row r="103" spans="1:4" ht="10" customHeight="1" x14ac:dyDescent="0.35"/>
    <row r="104" spans="1:4" x14ac:dyDescent="0.35">
      <c r="A104" s="207" t="s">
        <v>268</v>
      </c>
      <c r="B104" s="208"/>
      <c r="C104" s="90" t="s">
        <v>269</v>
      </c>
      <c r="D104" s="27" t="s">
        <v>6</v>
      </c>
    </row>
    <row r="105" spans="1:4" x14ac:dyDescent="0.35">
      <c r="A105" s="212" t="s">
        <v>270</v>
      </c>
      <c r="B105" s="213"/>
      <c r="C105" s="110">
        <f>D13</f>
        <v>2832.23</v>
      </c>
      <c r="D105" s="17">
        <f>ROUND(C105/$C$109,5)</f>
        <v>0.40055000000000002</v>
      </c>
    </row>
    <row r="106" spans="1:4" ht="24.5" customHeight="1" x14ac:dyDescent="0.35">
      <c r="A106" s="229" t="s">
        <v>271</v>
      </c>
      <c r="B106" s="230"/>
      <c r="C106" s="111">
        <f>D56</f>
        <v>2102.92</v>
      </c>
      <c r="D106" s="43">
        <f>ROUND(C106/$C$109,5)</f>
        <v>0.29741000000000001</v>
      </c>
    </row>
    <row r="107" spans="1:4" x14ac:dyDescent="0.35">
      <c r="A107" s="212" t="s">
        <v>272</v>
      </c>
      <c r="B107" s="213"/>
      <c r="C107" s="110">
        <f>D72</f>
        <v>681.52</v>
      </c>
      <c r="D107" s="17">
        <f>ROUND(C107/$C$109,5)</f>
        <v>9.6390000000000003E-2</v>
      </c>
    </row>
    <row r="108" spans="1:4" x14ac:dyDescent="0.35">
      <c r="A108" s="229" t="s">
        <v>273</v>
      </c>
      <c r="B108" s="230"/>
      <c r="C108" s="111">
        <f>ROUND(D80+D90,2)</f>
        <v>1454.12</v>
      </c>
      <c r="D108" s="43">
        <f>ROUND(C108/$C$109,5)</f>
        <v>0.20565</v>
      </c>
    </row>
    <row r="109" spans="1:4" x14ac:dyDescent="0.35">
      <c r="A109" s="231" t="s">
        <v>274</v>
      </c>
      <c r="B109" s="232"/>
      <c r="C109" s="112">
        <f>ROUND(SUM(C105:C108),2)</f>
        <v>7070.79</v>
      </c>
      <c r="D109" s="30">
        <f>ROUND(SUM(D105:D108),5)</f>
        <v>1</v>
      </c>
    </row>
  </sheetData>
  <mergeCells count="92">
    <mergeCell ref="A104:B104"/>
    <mergeCell ref="A98:C98"/>
    <mergeCell ref="A99:C99"/>
    <mergeCell ref="A100:C100"/>
    <mergeCell ref="A101:C101"/>
    <mergeCell ref="A102:C102"/>
    <mergeCell ref="A105:B105"/>
    <mergeCell ref="A106:B106"/>
    <mergeCell ref="A107:B107"/>
    <mergeCell ref="A108:B108"/>
    <mergeCell ref="A109:B109"/>
    <mergeCell ref="A97:C97"/>
    <mergeCell ref="A80:B80"/>
    <mergeCell ref="A82:C82"/>
    <mergeCell ref="A84:B84"/>
    <mergeCell ref="A86:B86"/>
    <mergeCell ref="A90:B90"/>
    <mergeCell ref="A92:C92"/>
    <mergeCell ref="A93:C93"/>
    <mergeCell ref="A95:C95"/>
    <mergeCell ref="A96:C96"/>
    <mergeCell ref="A87:B87"/>
    <mergeCell ref="A88:B88"/>
    <mergeCell ref="A89:B89"/>
    <mergeCell ref="A74:C74"/>
    <mergeCell ref="A76:D76"/>
    <mergeCell ref="A77:B77"/>
    <mergeCell ref="A78:B78"/>
    <mergeCell ref="A79:B79"/>
    <mergeCell ref="A68:B68"/>
    <mergeCell ref="A69:B69"/>
    <mergeCell ref="A70:B70"/>
    <mergeCell ref="A71:B71"/>
    <mergeCell ref="A72:C72"/>
    <mergeCell ref="A58:C58"/>
    <mergeCell ref="A46:B46"/>
    <mergeCell ref="A47:B47"/>
    <mergeCell ref="A49:B49"/>
    <mergeCell ref="A67:B67"/>
    <mergeCell ref="A60:D60"/>
    <mergeCell ref="A61:B61"/>
    <mergeCell ref="A62:B62"/>
    <mergeCell ref="A63:B63"/>
    <mergeCell ref="A64:B64"/>
    <mergeCell ref="A65:B65"/>
    <mergeCell ref="A66:B66"/>
    <mergeCell ref="A51:B51"/>
    <mergeCell ref="A53:B53"/>
    <mergeCell ref="A54:B54"/>
    <mergeCell ref="A55:B55"/>
    <mergeCell ref="A56:B56"/>
    <mergeCell ref="A31:B31"/>
    <mergeCell ref="A32:B32"/>
    <mergeCell ref="A33:B33"/>
    <mergeCell ref="A50:B50"/>
    <mergeCell ref="A40:B40"/>
    <mergeCell ref="A41:B41"/>
    <mergeCell ref="A42:B42"/>
    <mergeCell ref="A43:B43"/>
    <mergeCell ref="A45:B45"/>
    <mergeCell ref="A34:B34"/>
    <mergeCell ref="A35:B35"/>
    <mergeCell ref="A36:B36"/>
    <mergeCell ref="A37:B37"/>
    <mergeCell ref="A39:B39"/>
    <mergeCell ref="A25:B25"/>
    <mergeCell ref="A27:B27"/>
    <mergeCell ref="A28:B28"/>
    <mergeCell ref="A29:B29"/>
    <mergeCell ref="A30:B30"/>
    <mergeCell ref="A23:B23"/>
    <mergeCell ref="A24:B24"/>
    <mergeCell ref="A13:C13"/>
    <mergeCell ref="A15:D15"/>
    <mergeCell ref="A16:B16"/>
    <mergeCell ref="A17:B17"/>
    <mergeCell ref="A18:B18"/>
    <mergeCell ref="B6:D6"/>
    <mergeCell ref="A19:B19"/>
    <mergeCell ref="A20:B20"/>
    <mergeCell ref="A21:B21"/>
    <mergeCell ref="A22:B22"/>
    <mergeCell ref="A8:D8"/>
    <mergeCell ref="A9:D9"/>
    <mergeCell ref="A10:B10"/>
    <mergeCell ref="A11:B11"/>
    <mergeCell ref="A12:B12"/>
    <mergeCell ref="A1:D1"/>
    <mergeCell ref="B2:D2"/>
    <mergeCell ref="B3:D3"/>
    <mergeCell ref="B4:D4"/>
    <mergeCell ref="B5:D5"/>
  </mergeCells>
  <pageMargins left="0.23622047244094491" right="0.23622047244094491" top="1.3385826771653544" bottom="0.74803149606299213" header="0.9055118110236221" footer="0.31496062992125984"/>
  <pageSetup fitToHeight="0" orientation="landscape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F20F3-A469-4DFD-859F-E53C0E0AE0DC}">
  <sheetPr codeName="Planilha19">
    <pageSetUpPr fitToPage="1"/>
  </sheetPr>
  <dimension ref="A1:D109"/>
  <sheetViews>
    <sheetView view="pageBreakPreview" zoomScaleNormal="100" zoomScaleSheetLayoutView="100" workbookViewId="0">
      <selection activeCell="F2" sqref="F2"/>
    </sheetView>
  </sheetViews>
  <sheetFormatPr defaultRowHeight="14.5" x14ac:dyDescent="0.35"/>
  <cols>
    <col min="1" max="1" width="33.453125" customWidth="1"/>
    <col min="2" max="2" width="14.54296875" customWidth="1"/>
    <col min="3" max="3" width="10.81640625" customWidth="1"/>
    <col min="4" max="4" width="12.26953125" customWidth="1"/>
  </cols>
  <sheetData>
    <row r="1" spans="1:4" ht="24" customHeight="1" x14ac:dyDescent="0.35">
      <c r="A1" s="218" t="s">
        <v>0</v>
      </c>
      <c r="B1" s="218"/>
      <c r="C1" s="218"/>
      <c r="D1" s="218"/>
    </row>
    <row r="2" spans="1:4" ht="30.5" customHeight="1" x14ac:dyDescent="0.35">
      <c r="A2" s="23" t="s">
        <v>2</v>
      </c>
      <c r="B2" s="214" t="str">
        <f>'Quantidade de Cargo'!A17</f>
        <v>Técnico de Suporte II</v>
      </c>
      <c r="C2" s="215"/>
      <c r="D2" s="216"/>
    </row>
    <row r="3" spans="1:4" ht="15" customHeight="1" x14ac:dyDescent="0.35">
      <c r="A3" s="23" t="s">
        <v>61</v>
      </c>
      <c r="B3" s="219" t="str">
        <f>'Salario Base'!B17</f>
        <v>7823-05</v>
      </c>
      <c r="C3" s="220"/>
      <c r="D3" s="221"/>
    </row>
    <row r="4" spans="1:4" ht="15" customHeight="1" x14ac:dyDescent="0.35">
      <c r="A4" s="24" t="s">
        <v>1</v>
      </c>
      <c r="B4" s="214" t="s">
        <v>143</v>
      </c>
      <c r="C4" s="215"/>
      <c r="D4" s="216"/>
    </row>
    <row r="5" spans="1:4" ht="26" x14ac:dyDescent="0.35">
      <c r="A5" s="24" t="s">
        <v>3</v>
      </c>
      <c r="B5" s="222">
        <v>1</v>
      </c>
      <c r="C5" s="220"/>
      <c r="D5" s="221"/>
    </row>
    <row r="6" spans="1:4" ht="65.5" customHeight="1" x14ac:dyDescent="0.35">
      <c r="A6" s="24" t="s">
        <v>62</v>
      </c>
      <c r="B6" s="214" t="s">
        <v>217</v>
      </c>
      <c r="C6" s="215"/>
      <c r="D6" s="216"/>
    </row>
    <row r="7" spans="1:4" ht="15" customHeight="1" x14ac:dyDescent="0.35">
      <c r="A7" s="2"/>
      <c r="B7" s="16"/>
      <c r="C7" s="3"/>
      <c r="D7" s="3"/>
    </row>
    <row r="8" spans="1:4" x14ac:dyDescent="0.35">
      <c r="A8" s="223" t="s">
        <v>4</v>
      </c>
      <c r="B8" s="223"/>
      <c r="C8" s="223"/>
      <c r="D8" s="223"/>
    </row>
    <row r="9" spans="1:4" x14ac:dyDescent="0.35">
      <c r="A9" s="224" t="s">
        <v>70</v>
      </c>
      <c r="B9" s="225"/>
      <c r="C9" s="225"/>
      <c r="D9" s="226"/>
    </row>
    <row r="10" spans="1:4" x14ac:dyDescent="0.35">
      <c r="A10" s="227" t="s">
        <v>5</v>
      </c>
      <c r="B10" s="228"/>
      <c r="C10" s="90" t="s">
        <v>6</v>
      </c>
      <c r="D10" s="90" t="s">
        <v>7</v>
      </c>
    </row>
    <row r="11" spans="1:4" ht="40.5" customHeight="1" x14ac:dyDescent="0.35">
      <c r="A11" s="176" t="s">
        <v>8</v>
      </c>
      <c r="B11" s="178"/>
      <c r="C11" s="91" t="s">
        <v>60</v>
      </c>
      <c r="D11" s="4">
        <f>'Salario Base'!D20</f>
        <v>3525.62</v>
      </c>
    </row>
    <row r="12" spans="1:4" ht="15" customHeight="1" x14ac:dyDescent="0.35">
      <c r="A12" s="229" t="s">
        <v>66</v>
      </c>
      <c r="B12" s="230"/>
      <c r="C12" s="53"/>
      <c r="D12" s="42">
        <f>C12*D11/100</f>
        <v>0</v>
      </c>
    </row>
    <row r="13" spans="1:4" x14ac:dyDescent="0.35">
      <c r="A13" s="217" t="s">
        <v>20</v>
      </c>
      <c r="B13" s="217"/>
      <c r="C13" s="217"/>
      <c r="D13" s="29">
        <f>ROUND(SUM(D11:D12),2)</f>
        <v>3525.62</v>
      </c>
    </row>
    <row r="14" spans="1:4" x14ac:dyDescent="0.35">
      <c r="A14" s="3"/>
      <c r="B14" s="3"/>
      <c r="C14" s="3"/>
      <c r="D14" s="3"/>
    </row>
    <row r="15" spans="1:4" x14ac:dyDescent="0.35">
      <c r="A15" s="202" t="s">
        <v>71</v>
      </c>
      <c r="B15" s="202"/>
      <c r="C15" s="202"/>
      <c r="D15" s="202"/>
    </row>
    <row r="16" spans="1:4" x14ac:dyDescent="0.35">
      <c r="A16" s="202" t="s">
        <v>10</v>
      </c>
      <c r="B16" s="202"/>
      <c r="C16" s="90" t="s">
        <v>6</v>
      </c>
      <c r="D16" s="90" t="s">
        <v>7</v>
      </c>
    </row>
    <row r="17" spans="1:4" x14ac:dyDescent="0.35">
      <c r="A17" s="176" t="s">
        <v>11</v>
      </c>
      <c r="B17" s="178"/>
      <c r="C17" s="11">
        <v>0.2</v>
      </c>
      <c r="D17" s="5">
        <f>ROUND($D$13*C17,2)</f>
        <v>705.12</v>
      </c>
    </row>
    <row r="18" spans="1:4" x14ac:dyDescent="0.35">
      <c r="A18" s="196" t="s">
        <v>12</v>
      </c>
      <c r="B18" s="197"/>
      <c r="C18" s="52">
        <v>0.08</v>
      </c>
      <c r="D18" s="42">
        <f t="shared" ref="D18:D24" si="0">ROUND($D$13*C18,2)</f>
        <v>282.05</v>
      </c>
    </row>
    <row r="19" spans="1:4" x14ac:dyDescent="0.35">
      <c r="A19" s="176" t="s">
        <v>13</v>
      </c>
      <c r="B19" s="178"/>
      <c r="C19" s="11">
        <v>1.4999999999999999E-2</v>
      </c>
      <c r="D19" s="5">
        <f t="shared" si="0"/>
        <v>52.88</v>
      </c>
    </row>
    <row r="20" spans="1:4" ht="25.5" customHeight="1" x14ac:dyDescent="0.35">
      <c r="A20" s="196" t="s">
        <v>14</v>
      </c>
      <c r="B20" s="197"/>
      <c r="C20" s="52">
        <v>0.01</v>
      </c>
      <c r="D20" s="42">
        <f t="shared" si="0"/>
        <v>35.26</v>
      </c>
    </row>
    <row r="21" spans="1:4" ht="28.5" customHeight="1" x14ac:dyDescent="0.35">
      <c r="A21" s="176" t="s">
        <v>15</v>
      </c>
      <c r="B21" s="178"/>
      <c r="C21" s="11">
        <v>2E-3</v>
      </c>
      <c r="D21" s="5">
        <f t="shared" si="0"/>
        <v>7.05</v>
      </c>
    </row>
    <row r="22" spans="1:4" x14ac:dyDescent="0.35">
      <c r="A22" s="196" t="s">
        <v>16</v>
      </c>
      <c r="B22" s="197"/>
      <c r="C22" s="52">
        <v>6.0000000000000001E-3</v>
      </c>
      <c r="D22" s="42">
        <f t="shared" si="0"/>
        <v>21.15</v>
      </c>
    </row>
    <row r="23" spans="1:4" x14ac:dyDescent="0.35">
      <c r="A23" s="212" t="s">
        <v>17</v>
      </c>
      <c r="B23" s="213"/>
      <c r="C23" s="11">
        <v>2.5000000000000001E-2</v>
      </c>
      <c r="D23" s="5">
        <f t="shared" si="0"/>
        <v>88.14</v>
      </c>
    </row>
    <row r="24" spans="1:4" ht="39.75" customHeight="1" x14ac:dyDescent="0.35">
      <c r="A24" s="229" t="s">
        <v>18</v>
      </c>
      <c r="B24" s="230"/>
      <c r="C24" s="50">
        <v>0.04</v>
      </c>
      <c r="D24" s="42">
        <f t="shared" si="0"/>
        <v>141.02000000000001</v>
      </c>
    </row>
    <row r="25" spans="1:4" x14ac:dyDescent="0.35">
      <c r="A25" s="198" t="s">
        <v>19</v>
      </c>
      <c r="B25" s="199"/>
      <c r="C25" s="30">
        <f>ROUND(SUM(C17:C24),5)</f>
        <v>0.378</v>
      </c>
      <c r="D25" s="29">
        <f>ROUND(SUM(D17:D24),2)</f>
        <v>1332.67</v>
      </c>
    </row>
    <row r="26" spans="1:4" x14ac:dyDescent="0.35">
      <c r="A26" s="20"/>
      <c r="B26" s="20"/>
      <c r="C26" s="6"/>
      <c r="D26" s="7"/>
    </row>
    <row r="27" spans="1:4" x14ac:dyDescent="0.35">
      <c r="A27" s="202" t="s">
        <v>21</v>
      </c>
      <c r="B27" s="202"/>
      <c r="C27" s="90" t="s">
        <v>6</v>
      </c>
      <c r="D27" s="90" t="s">
        <v>7</v>
      </c>
    </row>
    <row r="28" spans="1:4" ht="25" customHeight="1" x14ac:dyDescent="0.35">
      <c r="A28" s="212" t="s">
        <v>22</v>
      </c>
      <c r="B28" s="213"/>
      <c r="C28" s="9">
        <f>ROUND(1/12,5)</f>
        <v>8.3330000000000001E-2</v>
      </c>
      <c r="D28" s="5">
        <f>ROUND($D$13*C28,2)</f>
        <v>293.79000000000002</v>
      </c>
    </row>
    <row r="29" spans="1:4" ht="25" customHeight="1" x14ac:dyDescent="0.35">
      <c r="A29" s="196" t="s">
        <v>263</v>
      </c>
      <c r="B29" s="197"/>
      <c r="C29" s="51">
        <f>ROUND((1/3)/12,5)</f>
        <v>2.7779999999999999E-2</v>
      </c>
      <c r="D29" s="42">
        <f t="shared" ref="D29:D36" si="1">ROUND($D$13*C29,2)</f>
        <v>97.94</v>
      </c>
    </row>
    <row r="30" spans="1:4" ht="25" customHeight="1" x14ac:dyDescent="0.35">
      <c r="A30" s="176" t="s">
        <v>23</v>
      </c>
      <c r="B30" s="178"/>
      <c r="C30" s="10">
        <f>ROUND((((100% / 30) * 7) / 12),5)</f>
        <v>1.9439999999999999E-2</v>
      </c>
      <c r="D30" s="5">
        <f t="shared" si="1"/>
        <v>68.540000000000006</v>
      </c>
    </row>
    <row r="31" spans="1:4" ht="25" customHeight="1" x14ac:dyDescent="0.35">
      <c r="A31" s="196" t="s">
        <v>24</v>
      </c>
      <c r="B31" s="197"/>
      <c r="C31" s="51">
        <f>ROUND((5/30)/12,5)</f>
        <v>1.389E-2</v>
      </c>
      <c r="D31" s="42">
        <f t="shared" si="1"/>
        <v>48.97</v>
      </c>
    </row>
    <row r="32" spans="1:4" ht="25" customHeight="1" x14ac:dyDescent="0.35">
      <c r="A32" s="176" t="s">
        <v>25</v>
      </c>
      <c r="B32" s="178"/>
      <c r="C32" s="10">
        <f>ROUND(((15/30/12)*0.08),5)</f>
        <v>3.3300000000000001E-3</v>
      </c>
      <c r="D32" s="5">
        <f t="shared" si="1"/>
        <v>11.74</v>
      </c>
    </row>
    <row r="33" spans="1:4" ht="25" customHeight="1" x14ac:dyDescent="0.35">
      <c r="A33" s="196" t="s">
        <v>26</v>
      </c>
      <c r="B33" s="197"/>
      <c r="C33" s="51">
        <f>ROUND((1/30)/12,5)</f>
        <v>2.7799999999999999E-3</v>
      </c>
      <c r="D33" s="42">
        <f t="shared" si="1"/>
        <v>9.8000000000000007</v>
      </c>
    </row>
    <row r="34" spans="1:4" ht="25" customHeight="1" x14ac:dyDescent="0.35">
      <c r="A34" s="176" t="s">
        <v>27</v>
      </c>
      <c r="B34" s="178"/>
      <c r="C34" s="10">
        <f>ROUND(0.1111*0.02*0.333,5)</f>
        <v>7.3999999999999999E-4</v>
      </c>
      <c r="D34" s="5">
        <f t="shared" si="1"/>
        <v>2.61</v>
      </c>
    </row>
    <row r="35" spans="1:4" ht="25" customHeight="1" x14ac:dyDescent="0.35">
      <c r="A35" s="196" t="s">
        <v>28</v>
      </c>
      <c r="B35" s="197"/>
      <c r="C35" s="51">
        <f>ROUND(((5/30)/12)*0.015,5)</f>
        <v>2.1000000000000001E-4</v>
      </c>
      <c r="D35" s="42">
        <f t="shared" si="1"/>
        <v>0.74</v>
      </c>
    </row>
    <row r="36" spans="1:4" ht="25" customHeight="1" x14ac:dyDescent="0.35">
      <c r="A36" s="176" t="s">
        <v>264</v>
      </c>
      <c r="B36" s="178"/>
      <c r="C36" s="10">
        <f>ROUND(1/12,5)</f>
        <v>8.3330000000000001E-2</v>
      </c>
      <c r="D36" s="5">
        <f t="shared" si="1"/>
        <v>293.79000000000002</v>
      </c>
    </row>
    <row r="37" spans="1:4" x14ac:dyDescent="0.35">
      <c r="A37" s="198" t="s">
        <v>29</v>
      </c>
      <c r="B37" s="199"/>
      <c r="C37" s="30">
        <f>ROUND(SUM(C28:C36),5)</f>
        <v>0.23483000000000001</v>
      </c>
      <c r="D37" s="29">
        <f>ROUND(SUM(D28:D36),2)</f>
        <v>827.92</v>
      </c>
    </row>
    <row r="38" spans="1:4" x14ac:dyDescent="0.35">
      <c r="A38" s="20"/>
      <c r="B38" s="20"/>
      <c r="C38" s="8"/>
      <c r="D38" s="7"/>
    </row>
    <row r="39" spans="1:4" x14ac:dyDescent="0.35">
      <c r="A39" s="207" t="s">
        <v>30</v>
      </c>
      <c r="B39" s="208"/>
      <c r="C39" s="90" t="s">
        <v>6</v>
      </c>
      <c r="D39" s="90" t="s">
        <v>7</v>
      </c>
    </row>
    <row r="40" spans="1:4" ht="25" customHeight="1" x14ac:dyDescent="0.35">
      <c r="A40" s="210" t="s">
        <v>31</v>
      </c>
      <c r="B40" s="211"/>
      <c r="C40" s="12">
        <f>ROUND(1/12*5%,5)</f>
        <v>4.1700000000000001E-3</v>
      </c>
      <c r="D40" s="54">
        <f>ROUND($D$13*C40,2)</f>
        <v>14.7</v>
      </c>
    </row>
    <row r="41" spans="1:4" ht="25" customHeight="1" x14ac:dyDescent="0.35">
      <c r="A41" s="196" t="s">
        <v>32</v>
      </c>
      <c r="B41" s="197"/>
      <c r="C41" s="50">
        <f>ROUND(0.02*(1/12),5)</f>
        <v>1.67E-3</v>
      </c>
      <c r="D41" s="42">
        <f>ROUND($D$13*C41,2)</f>
        <v>5.89</v>
      </c>
    </row>
    <row r="42" spans="1:4" ht="25" customHeight="1" x14ac:dyDescent="0.35">
      <c r="A42" s="210" t="s">
        <v>33</v>
      </c>
      <c r="B42" s="211"/>
      <c r="C42" s="15">
        <f>ROUND(40%*8%,5)</f>
        <v>3.2000000000000001E-2</v>
      </c>
      <c r="D42" s="54">
        <f>ROUND($D$13*C42,2)</f>
        <v>112.82</v>
      </c>
    </row>
    <row r="43" spans="1:4" x14ac:dyDescent="0.35">
      <c r="A43" s="198" t="s">
        <v>34</v>
      </c>
      <c r="B43" s="199"/>
      <c r="C43" s="30">
        <f>ROUND(SUM(C40:C42),5)</f>
        <v>3.7839999999999999E-2</v>
      </c>
      <c r="D43" s="29">
        <f>ROUND(SUM(D40:D42),2)</f>
        <v>133.41</v>
      </c>
    </row>
    <row r="44" spans="1:4" x14ac:dyDescent="0.35">
      <c r="A44" s="20"/>
      <c r="B44" s="20"/>
      <c r="C44" s="8"/>
      <c r="D44" s="7"/>
    </row>
    <row r="45" spans="1:4" x14ac:dyDescent="0.35">
      <c r="A45" s="207" t="s">
        <v>35</v>
      </c>
      <c r="B45" s="208"/>
      <c r="C45" s="90" t="s">
        <v>6</v>
      </c>
      <c r="D45" s="90" t="s">
        <v>7</v>
      </c>
    </row>
    <row r="46" spans="1:4" ht="29" customHeight="1" x14ac:dyDescent="0.35">
      <c r="A46" s="176" t="s">
        <v>36</v>
      </c>
      <c r="B46" s="178"/>
      <c r="C46" s="14">
        <f>ROUND(C25*C37,5)</f>
        <v>8.8770000000000002E-2</v>
      </c>
      <c r="D46" s="5">
        <f>ROUND($D$13*C46,2)</f>
        <v>312.97000000000003</v>
      </c>
    </row>
    <row r="47" spans="1:4" x14ac:dyDescent="0.35">
      <c r="A47" s="198" t="s">
        <v>37</v>
      </c>
      <c r="B47" s="199"/>
      <c r="C47" s="30">
        <f>ROUND(SUM(C46),5)</f>
        <v>8.8770000000000002E-2</v>
      </c>
      <c r="D47" s="29">
        <f>ROUND(SUM(D46),2)</f>
        <v>312.97000000000003</v>
      </c>
    </row>
    <row r="48" spans="1:4" x14ac:dyDescent="0.35">
      <c r="A48" s="20"/>
      <c r="B48" s="20"/>
      <c r="C48" s="8"/>
      <c r="D48" s="7"/>
    </row>
    <row r="49" spans="1:4" x14ac:dyDescent="0.35">
      <c r="A49" s="207" t="s">
        <v>38</v>
      </c>
      <c r="B49" s="208"/>
      <c r="C49" s="90" t="s">
        <v>6</v>
      </c>
      <c r="D49" s="90" t="s">
        <v>7</v>
      </c>
    </row>
    <row r="50" spans="1:4" ht="65.5" customHeight="1" x14ac:dyDescent="0.35">
      <c r="A50" s="176" t="s">
        <v>39</v>
      </c>
      <c r="B50" s="178"/>
      <c r="C50" s="15">
        <f>ROUND(8%*C40,5)</f>
        <v>3.3E-4</v>
      </c>
      <c r="D50" s="5">
        <f>ROUND($D$13*C50,2)</f>
        <v>1.1599999999999999</v>
      </c>
    </row>
    <row r="51" spans="1:4" x14ac:dyDescent="0.35">
      <c r="A51" s="198" t="s">
        <v>40</v>
      </c>
      <c r="B51" s="199"/>
      <c r="C51" s="30">
        <f>ROUND(SUM(C50:C50),5)</f>
        <v>3.3E-4</v>
      </c>
      <c r="D51" s="29">
        <f>ROUND(SUM(D50:D50),2)</f>
        <v>1.1599999999999999</v>
      </c>
    </row>
    <row r="52" spans="1:4" x14ac:dyDescent="0.35">
      <c r="A52" s="20"/>
      <c r="B52" s="20"/>
      <c r="C52" s="8"/>
      <c r="D52" s="7"/>
    </row>
    <row r="53" spans="1:4" x14ac:dyDescent="0.35">
      <c r="A53" s="207" t="s">
        <v>41</v>
      </c>
      <c r="B53" s="208"/>
      <c r="C53" s="90" t="s">
        <v>6</v>
      </c>
      <c r="D53" s="90" t="s">
        <v>7</v>
      </c>
    </row>
    <row r="54" spans="1:4" ht="120" customHeight="1" x14ac:dyDescent="0.35">
      <c r="A54" s="176" t="s">
        <v>42</v>
      </c>
      <c r="B54" s="178"/>
      <c r="C54" s="14">
        <f>ROUND(C25*(13/12)*(4/12)*2/100,5)</f>
        <v>2.7299999999999998E-3</v>
      </c>
      <c r="D54" s="5">
        <f>ROUND($D$13*C54,2)</f>
        <v>9.6199999999999992</v>
      </c>
    </row>
    <row r="55" spans="1:4" x14ac:dyDescent="0.35">
      <c r="A55" s="198" t="s">
        <v>43</v>
      </c>
      <c r="B55" s="199"/>
      <c r="C55" s="30">
        <f>ROUND(SUM(C54),5)</f>
        <v>2.7299999999999998E-3</v>
      </c>
      <c r="D55" s="29">
        <f>ROUND(SUM(D54),2)</f>
        <v>9.6199999999999992</v>
      </c>
    </row>
    <row r="56" spans="1:4" x14ac:dyDescent="0.35">
      <c r="A56" s="198" t="s">
        <v>44</v>
      </c>
      <c r="B56" s="199"/>
      <c r="C56" s="30">
        <f>ROUND(C25+C37+C43+C47+C51+C55,5)</f>
        <v>0.74250000000000005</v>
      </c>
      <c r="D56" s="29">
        <f>ROUND(D25+D37+D43+D47+D51+D55,2)</f>
        <v>2617.75</v>
      </c>
    </row>
    <row r="57" spans="1:4" ht="15" customHeight="1" x14ac:dyDescent="0.35">
      <c r="A57" s="20"/>
      <c r="B57" s="20"/>
      <c r="C57" s="8"/>
      <c r="D57" s="7"/>
    </row>
    <row r="58" spans="1:4" ht="15" customHeight="1" x14ac:dyDescent="0.35">
      <c r="A58" s="198" t="s">
        <v>45</v>
      </c>
      <c r="B58" s="200"/>
      <c r="C58" s="199"/>
      <c r="D58" s="29">
        <f>D13+D56</f>
        <v>6143.37</v>
      </c>
    </row>
    <row r="59" spans="1:4" ht="15" customHeight="1" x14ac:dyDescent="0.35">
      <c r="A59" s="3"/>
      <c r="B59" s="3"/>
      <c r="C59" s="3"/>
      <c r="D59" s="3"/>
    </row>
    <row r="60" spans="1:4" ht="15" customHeight="1" x14ac:dyDescent="0.35">
      <c r="A60" s="202" t="s">
        <v>72</v>
      </c>
      <c r="B60" s="202"/>
      <c r="C60" s="202"/>
      <c r="D60" s="202"/>
    </row>
    <row r="61" spans="1:4" x14ac:dyDescent="0.35">
      <c r="A61" s="202" t="s">
        <v>46</v>
      </c>
      <c r="B61" s="202"/>
      <c r="C61" s="90" t="s">
        <v>218</v>
      </c>
      <c r="D61" s="92" t="s">
        <v>7</v>
      </c>
    </row>
    <row r="62" spans="1:4" ht="96" customHeight="1" x14ac:dyDescent="0.35">
      <c r="A62" s="206" t="s">
        <v>91</v>
      </c>
      <c r="B62" s="206"/>
      <c r="C62" s="33">
        <v>15</v>
      </c>
      <c r="D62" s="33">
        <f>ROUND(C62*22,2)</f>
        <v>330</v>
      </c>
    </row>
    <row r="63" spans="1:4" ht="53.5" customHeight="1" x14ac:dyDescent="0.35">
      <c r="A63" s="209" t="s">
        <v>92</v>
      </c>
      <c r="B63" s="209"/>
      <c r="C63" s="101">
        <v>0.1</v>
      </c>
      <c r="D63" s="49">
        <f>ROUND(D62*C63,2)*-1</f>
        <v>-33</v>
      </c>
    </row>
    <row r="64" spans="1:4" ht="29.5" customHeight="1" x14ac:dyDescent="0.35">
      <c r="A64" s="206" t="s">
        <v>78</v>
      </c>
      <c r="B64" s="206"/>
      <c r="C64" s="33">
        <v>100</v>
      </c>
      <c r="D64" s="33">
        <f>C64</f>
        <v>100</v>
      </c>
    </row>
    <row r="65" spans="1:4" ht="102.5" customHeight="1" x14ac:dyDescent="0.35">
      <c r="A65" s="205" t="s">
        <v>93</v>
      </c>
      <c r="B65" s="205"/>
      <c r="C65" s="102">
        <v>3.8</v>
      </c>
      <c r="D65" s="47">
        <f>ROUND(C65*2*22,2)</f>
        <v>167.2</v>
      </c>
    </row>
    <row r="66" spans="1:4" ht="62" customHeight="1" x14ac:dyDescent="0.35">
      <c r="A66" s="204" t="s">
        <v>94</v>
      </c>
      <c r="B66" s="204"/>
      <c r="C66" s="103">
        <v>0.06</v>
      </c>
      <c r="D66" s="34" t="str">
        <f>IF(D11*C66&gt;D65,"-",ROUND(D11*C66,2)*-1)</f>
        <v>-</v>
      </c>
    </row>
    <row r="67" spans="1:4" ht="29.5" customHeight="1" x14ac:dyDescent="0.35">
      <c r="A67" s="205" t="s">
        <v>79</v>
      </c>
      <c r="B67" s="205"/>
      <c r="C67" s="102">
        <v>15</v>
      </c>
      <c r="D67" s="47">
        <f>C67</f>
        <v>15</v>
      </c>
    </row>
    <row r="68" spans="1:4" ht="44.5" customHeight="1" x14ac:dyDescent="0.35">
      <c r="A68" s="206" t="s">
        <v>219</v>
      </c>
      <c r="B68" s="206"/>
      <c r="C68" s="104">
        <v>10</v>
      </c>
      <c r="D68" s="33">
        <f>C68</f>
        <v>10</v>
      </c>
    </row>
    <row r="69" spans="1:4" ht="29.5" customHeight="1" x14ac:dyDescent="0.35">
      <c r="A69" s="205" t="s">
        <v>95</v>
      </c>
      <c r="B69" s="205"/>
      <c r="C69" s="102">
        <v>10</v>
      </c>
      <c r="D69" s="47">
        <f>C69</f>
        <v>10</v>
      </c>
    </row>
    <row r="70" spans="1:4" ht="25.5" customHeight="1" x14ac:dyDescent="0.35">
      <c r="A70" s="206" t="s">
        <v>47</v>
      </c>
      <c r="B70" s="206"/>
      <c r="C70" s="60" t="s">
        <v>60</v>
      </c>
      <c r="D70" s="33">
        <f>'Uniforme Tipo I'!F13</f>
        <v>82.32</v>
      </c>
    </row>
    <row r="71" spans="1:4" ht="25.5" customHeight="1" x14ac:dyDescent="0.35">
      <c r="A71" s="233" t="s">
        <v>265</v>
      </c>
      <c r="B71" s="234"/>
      <c r="C71" s="61" t="s">
        <v>60</v>
      </c>
      <c r="D71" s="45">
        <f>'Manutenção Equip.'!F7</f>
        <v>22.3</v>
      </c>
    </row>
    <row r="72" spans="1:4" ht="15" customHeight="1" x14ac:dyDescent="0.35">
      <c r="A72" s="217" t="s">
        <v>48</v>
      </c>
      <c r="B72" s="217"/>
      <c r="C72" s="217"/>
      <c r="D72" s="29">
        <f>ROUND(SUM(D62:D70),2)</f>
        <v>681.52</v>
      </c>
    </row>
    <row r="73" spans="1:4" x14ac:dyDescent="0.35">
      <c r="A73" s="20"/>
      <c r="B73" s="20"/>
      <c r="C73" s="20"/>
      <c r="D73" s="7"/>
    </row>
    <row r="74" spans="1:4" ht="30" customHeight="1" x14ac:dyDescent="0.35">
      <c r="A74" s="198" t="s">
        <v>49</v>
      </c>
      <c r="B74" s="200"/>
      <c r="C74" s="199"/>
      <c r="D74" s="29">
        <f>ROUND(D58+D72,2)</f>
        <v>6824.89</v>
      </c>
    </row>
    <row r="75" spans="1:4" x14ac:dyDescent="0.35">
      <c r="A75" s="20"/>
      <c r="B75" s="20"/>
      <c r="C75" s="20"/>
      <c r="D75" s="7"/>
    </row>
    <row r="76" spans="1:4" x14ac:dyDescent="0.35">
      <c r="A76" s="202" t="s">
        <v>88</v>
      </c>
      <c r="B76" s="202"/>
      <c r="C76" s="202"/>
      <c r="D76" s="202"/>
    </row>
    <row r="77" spans="1:4" x14ac:dyDescent="0.35">
      <c r="A77" s="207" t="s">
        <v>50</v>
      </c>
      <c r="B77" s="208"/>
      <c r="C77" s="90" t="s">
        <v>6</v>
      </c>
      <c r="D77" s="90" t="s">
        <v>7</v>
      </c>
    </row>
    <row r="78" spans="1:4" s="1" customFormat="1" ht="30" customHeight="1" x14ac:dyDescent="0.3">
      <c r="A78" s="176" t="s">
        <v>51</v>
      </c>
      <c r="B78" s="178"/>
      <c r="C78" s="13">
        <v>0.05</v>
      </c>
      <c r="D78" s="18">
        <f>ROUND(D74*C78,2)</f>
        <v>341.24</v>
      </c>
    </row>
    <row r="79" spans="1:4" s="1" customFormat="1" ht="30" customHeight="1" x14ac:dyDescent="0.3">
      <c r="A79" s="196" t="s">
        <v>9</v>
      </c>
      <c r="B79" s="197"/>
      <c r="C79" s="41">
        <v>0.1</v>
      </c>
      <c r="D79" s="44">
        <f>ROUND(D74*C79,2)</f>
        <v>682.49</v>
      </c>
    </row>
    <row r="80" spans="1:4" x14ac:dyDescent="0.35">
      <c r="A80" s="198" t="s">
        <v>52</v>
      </c>
      <c r="B80" s="199"/>
      <c r="C80" s="31">
        <f>ROUND(SUM(C78:C79),5)</f>
        <v>0.15</v>
      </c>
      <c r="D80" s="29">
        <f>SUM(D78:D79)</f>
        <v>1023.73</v>
      </c>
    </row>
    <row r="81" spans="1:4" x14ac:dyDescent="0.35">
      <c r="A81" s="20"/>
      <c r="B81" s="20"/>
      <c r="C81" s="6"/>
      <c r="D81" s="7"/>
    </row>
    <row r="82" spans="1:4" ht="30" customHeight="1" x14ac:dyDescent="0.35">
      <c r="A82" s="198" t="s">
        <v>73</v>
      </c>
      <c r="B82" s="200"/>
      <c r="C82" s="199"/>
      <c r="D82" s="29">
        <f>ROUND(D74+D80,2)</f>
        <v>7848.62</v>
      </c>
    </row>
    <row r="83" spans="1:4" x14ac:dyDescent="0.35">
      <c r="A83" s="20"/>
      <c r="B83" s="20"/>
      <c r="C83" s="20"/>
      <c r="D83" s="7"/>
    </row>
    <row r="84" spans="1:4" ht="35.25" customHeight="1" x14ac:dyDescent="0.35">
      <c r="A84" s="235" t="s">
        <v>63</v>
      </c>
      <c r="B84" s="235"/>
      <c r="C84" s="30">
        <f>ROUND(1-(SUM(C87:C89)/1),5)</f>
        <v>0.91349999999999998</v>
      </c>
      <c r="D84" s="29">
        <f>ROUND(D82/C84,2)</f>
        <v>8591.81</v>
      </c>
    </row>
    <row r="85" spans="1:4" x14ac:dyDescent="0.35">
      <c r="A85" s="3"/>
      <c r="B85" s="3"/>
      <c r="C85" s="3"/>
      <c r="D85" s="3"/>
    </row>
    <row r="86" spans="1:4" x14ac:dyDescent="0.35">
      <c r="A86" s="207" t="s">
        <v>53</v>
      </c>
      <c r="B86" s="208"/>
      <c r="C86" s="90" t="s">
        <v>6</v>
      </c>
      <c r="D86" s="90" t="s">
        <v>7</v>
      </c>
    </row>
    <row r="87" spans="1:4" ht="22" customHeight="1" x14ac:dyDescent="0.35">
      <c r="A87" s="176" t="s">
        <v>54</v>
      </c>
      <c r="B87" s="178"/>
      <c r="C87" s="13">
        <v>0.05</v>
      </c>
      <c r="D87" s="5">
        <f>ROUND($D$84*C87,2)</f>
        <v>429.59</v>
      </c>
    </row>
    <row r="88" spans="1:4" ht="22" customHeight="1" x14ac:dyDescent="0.35">
      <c r="A88" s="196" t="s">
        <v>55</v>
      </c>
      <c r="B88" s="197"/>
      <c r="C88" s="41">
        <v>0.03</v>
      </c>
      <c r="D88" s="42">
        <f>ROUND($D$84*C88,2)</f>
        <v>257.75</v>
      </c>
    </row>
    <row r="89" spans="1:4" ht="22" customHeight="1" x14ac:dyDescent="0.35">
      <c r="A89" s="176" t="s">
        <v>56</v>
      </c>
      <c r="B89" s="178"/>
      <c r="C89" s="13">
        <v>6.4999999999999997E-3</v>
      </c>
      <c r="D89" s="5">
        <f>ROUND($D$84*C89,2)</f>
        <v>55.85</v>
      </c>
    </row>
    <row r="90" spans="1:4" x14ac:dyDescent="0.35">
      <c r="A90" s="198" t="s">
        <v>57</v>
      </c>
      <c r="B90" s="199"/>
      <c r="C90" s="30">
        <f>ROUND(SUM(C87:C89),5)</f>
        <v>8.6499999999999994E-2</v>
      </c>
      <c r="D90" s="29">
        <f>ROUND(SUM(D87:D89),2)</f>
        <v>743.19</v>
      </c>
    </row>
    <row r="91" spans="1:4" ht="10" customHeight="1" x14ac:dyDescent="0.35">
      <c r="A91" s="3"/>
      <c r="B91" s="3"/>
      <c r="C91" s="3"/>
      <c r="D91" s="3"/>
    </row>
    <row r="92" spans="1:4" ht="25" customHeight="1" x14ac:dyDescent="0.35">
      <c r="A92" s="198" t="s">
        <v>58</v>
      </c>
      <c r="B92" s="200"/>
      <c r="C92" s="199"/>
      <c r="D92" s="29">
        <f>ROUND(D82+D90,2)</f>
        <v>8591.81</v>
      </c>
    </row>
    <row r="93" spans="1:4" ht="25" customHeight="1" x14ac:dyDescent="0.35">
      <c r="A93" s="198" t="s">
        <v>64</v>
      </c>
      <c r="B93" s="200"/>
      <c r="C93" s="199"/>
      <c r="D93" s="29">
        <f>ROUND(D92*12,2)</f>
        <v>103101.72</v>
      </c>
    </row>
    <row r="94" spans="1:4" ht="10" customHeight="1" x14ac:dyDescent="0.35">
      <c r="A94" s="20"/>
      <c r="B94" s="20"/>
      <c r="C94" s="20"/>
      <c r="D94" s="7"/>
    </row>
    <row r="95" spans="1:4" ht="15" customHeight="1" x14ac:dyDescent="0.35">
      <c r="A95" s="202" t="s">
        <v>59</v>
      </c>
      <c r="B95" s="202"/>
      <c r="C95" s="202"/>
      <c r="D95" s="27" t="s">
        <v>6</v>
      </c>
    </row>
    <row r="96" spans="1:4" ht="15" customHeight="1" x14ac:dyDescent="0.35">
      <c r="A96" s="201" t="s">
        <v>74</v>
      </c>
      <c r="B96" s="201"/>
      <c r="C96" s="201"/>
      <c r="D96" s="17">
        <f>C25</f>
        <v>0.378</v>
      </c>
    </row>
    <row r="97" spans="1:4" ht="15" customHeight="1" x14ac:dyDescent="0.35">
      <c r="A97" s="203" t="s">
        <v>29</v>
      </c>
      <c r="B97" s="203"/>
      <c r="C97" s="203"/>
      <c r="D97" s="43">
        <f>C37</f>
        <v>0.23483000000000001</v>
      </c>
    </row>
    <row r="98" spans="1:4" ht="15" customHeight="1" x14ac:dyDescent="0.35">
      <c r="A98" s="201" t="s">
        <v>34</v>
      </c>
      <c r="B98" s="201"/>
      <c r="C98" s="201"/>
      <c r="D98" s="17">
        <f>C43</f>
        <v>3.7839999999999999E-2</v>
      </c>
    </row>
    <row r="99" spans="1:4" ht="15" customHeight="1" x14ac:dyDescent="0.35">
      <c r="A99" s="203" t="s">
        <v>37</v>
      </c>
      <c r="B99" s="203"/>
      <c r="C99" s="203"/>
      <c r="D99" s="43">
        <f>C47</f>
        <v>8.8770000000000002E-2</v>
      </c>
    </row>
    <row r="100" spans="1:4" ht="15" customHeight="1" x14ac:dyDescent="0.35">
      <c r="A100" s="201" t="s">
        <v>40</v>
      </c>
      <c r="B100" s="201"/>
      <c r="C100" s="201"/>
      <c r="D100" s="17">
        <f>C51</f>
        <v>3.3E-4</v>
      </c>
    </row>
    <row r="101" spans="1:4" ht="15" customHeight="1" x14ac:dyDescent="0.35">
      <c r="A101" s="203" t="s">
        <v>43</v>
      </c>
      <c r="B101" s="203"/>
      <c r="C101" s="203"/>
      <c r="D101" s="43">
        <f>C55</f>
        <v>2.7299999999999998E-3</v>
      </c>
    </row>
    <row r="102" spans="1:4" ht="15" customHeight="1" x14ac:dyDescent="0.35">
      <c r="A102" s="236" t="s">
        <v>75</v>
      </c>
      <c r="B102" s="236"/>
      <c r="C102" s="236"/>
      <c r="D102" s="28">
        <f>ROUND(SUM(D96:D101),5)</f>
        <v>0.74250000000000005</v>
      </c>
    </row>
    <row r="103" spans="1:4" ht="10" customHeight="1" x14ac:dyDescent="0.35"/>
    <row r="104" spans="1:4" x14ac:dyDescent="0.35">
      <c r="A104" s="207" t="s">
        <v>268</v>
      </c>
      <c r="B104" s="208"/>
      <c r="C104" s="90" t="s">
        <v>269</v>
      </c>
      <c r="D104" s="27" t="s">
        <v>6</v>
      </c>
    </row>
    <row r="105" spans="1:4" x14ac:dyDescent="0.35">
      <c r="A105" s="212" t="s">
        <v>270</v>
      </c>
      <c r="B105" s="213"/>
      <c r="C105" s="110">
        <f>D13</f>
        <v>3525.62</v>
      </c>
      <c r="D105" s="17">
        <f>ROUND(C105/$C$109,5)</f>
        <v>0.41034999999999999</v>
      </c>
    </row>
    <row r="106" spans="1:4" ht="24.5" customHeight="1" x14ac:dyDescent="0.35">
      <c r="A106" s="229" t="s">
        <v>271</v>
      </c>
      <c r="B106" s="230"/>
      <c r="C106" s="111">
        <f>D56</f>
        <v>2617.75</v>
      </c>
      <c r="D106" s="43">
        <f>ROUND(C106/$C$109,5)</f>
        <v>0.30468000000000001</v>
      </c>
    </row>
    <row r="107" spans="1:4" x14ac:dyDescent="0.35">
      <c r="A107" s="212" t="s">
        <v>272</v>
      </c>
      <c r="B107" s="213"/>
      <c r="C107" s="110">
        <f>D72</f>
        <v>681.52</v>
      </c>
      <c r="D107" s="17">
        <f>ROUND(C107/$C$109,5)</f>
        <v>7.9320000000000002E-2</v>
      </c>
    </row>
    <row r="108" spans="1:4" x14ac:dyDescent="0.35">
      <c r="A108" s="229" t="s">
        <v>273</v>
      </c>
      <c r="B108" s="230"/>
      <c r="C108" s="111">
        <f>ROUND(D80+D90,2)</f>
        <v>1766.92</v>
      </c>
      <c r="D108" s="43">
        <f>ROUND(C108/$C$109,5)</f>
        <v>0.20565</v>
      </c>
    </row>
    <row r="109" spans="1:4" x14ac:dyDescent="0.35">
      <c r="A109" s="231" t="s">
        <v>274</v>
      </c>
      <c r="B109" s="232"/>
      <c r="C109" s="112">
        <f>ROUND(SUM(C105:C108),2)</f>
        <v>8591.81</v>
      </c>
      <c r="D109" s="30">
        <f>ROUND(SUM(D105:D108),5)</f>
        <v>1</v>
      </c>
    </row>
  </sheetData>
  <mergeCells count="92">
    <mergeCell ref="A104:B104"/>
    <mergeCell ref="A98:C98"/>
    <mergeCell ref="A99:C99"/>
    <mergeCell ref="A100:C100"/>
    <mergeCell ref="A101:C101"/>
    <mergeCell ref="A102:C102"/>
    <mergeCell ref="A105:B105"/>
    <mergeCell ref="A106:B106"/>
    <mergeCell ref="A107:B107"/>
    <mergeCell ref="A108:B108"/>
    <mergeCell ref="A109:B109"/>
    <mergeCell ref="A97:C97"/>
    <mergeCell ref="A80:B80"/>
    <mergeCell ref="A82:C82"/>
    <mergeCell ref="A84:B84"/>
    <mergeCell ref="A86:B86"/>
    <mergeCell ref="A90:B90"/>
    <mergeCell ref="A92:C92"/>
    <mergeCell ref="A93:C93"/>
    <mergeCell ref="A95:C95"/>
    <mergeCell ref="A96:C96"/>
    <mergeCell ref="A87:B87"/>
    <mergeCell ref="A88:B88"/>
    <mergeCell ref="A89:B89"/>
    <mergeCell ref="A74:C74"/>
    <mergeCell ref="A76:D76"/>
    <mergeCell ref="A77:B77"/>
    <mergeCell ref="A78:B78"/>
    <mergeCell ref="A79:B79"/>
    <mergeCell ref="A68:B68"/>
    <mergeCell ref="A69:B69"/>
    <mergeCell ref="A70:B70"/>
    <mergeCell ref="A71:B71"/>
    <mergeCell ref="A72:C72"/>
    <mergeCell ref="A58:C58"/>
    <mergeCell ref="A46:B46"/>
    <mergeCell ref="A47:B47"/>
    <mergeCell ref="A49:B49"/>
    <mergeCell ref="A67:B67"/>
    <mergeCell ref="A60:D60"/>
    <mergeCell ref="A61:B61"/>
    <mergeCell ref="A62:B62"/>
    <mergeCell ref="A63:B63"/>
    <mergeCell ref="A64:B64"/>
    <mergeCell ref="A65:B65"/>
    <mergeCell ref="A66:B66"/>
    <mergeCell ref="A51:B51"/>
    <mergeCell ref="A53:B53"/>
    <mergeCell ref="A54:B54"/>
    <mergeCell ref="A55:B55"/>
    <mergeCell ref="A56:B56"/>
    <mergeCell ref="A31:B31"/>
    <mergeCell ref="A32:B32"/>
    <mergeCell ref="A33:B33"/>
    <mergeCell ref="A50:B50"/>
    <mergeCell ref="A40:B40"/>
    <mergeCell ref="A41:B41"/>
    <mergeCell ref="A42:B42"/>
    <mergeCell ref="A43:B43"/>
    <mergeCell ref="A45:B45"/>
    <mergeCell ref="A34:B34"/>
    <mergeCell ref="A35:B35"/>
    <mergeCell ref="A36:B36"/>
    <mergeCell ref="A37:B37"/>
    <mergeCell ref="A39:B39"/>
    <mergeCell ref="A25:B25"/>
    <mergeCell ref="A27:B27"/>
    <mergeCell ref="A28:B28"/>
    <mergeCell ref="A29:B29"/>
    <mergeCell ref="A30:B30"/>
    <mergeCell ref="A23:B23"/>
    <mergeCell ref="A24:B24"/>
    <mergeCell ref="A13:C13"/>
    <mergeCell ref="A15:D15"/>
    <mergeCell ref="A16:B16"/>
    <mergeCell ref="A17:B17"/>
    <mergeCell ref="A18:B18"/>
    <mergeCell ref="B6:D6"/>
    <mergeCell ref="A19:B19"/>
    <mergeCell ref="A20:B20"/>
    <mergeCell ref="A21:B21"/>
    <mergeCell ref="A22:B22"/>
    <mergeCell ref="A8:D8"/>
    <mergeCell ref="A9:D9"/>
    <mergeCell ref="A10:B10"/>
    <mergeCell ref="A11:B11"/>
    <mergeCell ref="A12:B12"/>
    <mergeCell ref="A1:D1"/>
    <mergeCell ref="B2:D2"/>
    <mergeCell ref="B3:D3"/>
    <mergeCell ref="B4:D4"/>
    <mergeCell ref="B5:D5"/>
  </mergeCells>
  <pageMargins left="0.23622047244094491" right="0.23622047244094491" top="1.3385826771653544" bottom="0.74803149606299213" header="0.9055118110236221" footer="0.31496062992125984"/>
  <pageSetup fitToHeight="0" orientation="landscape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2A34E-E8A9-471F-94BB-D25D30014FD0}">
  <sheetPr codeName="Planilha20">
    <pageSetUpPr fitToPage="1"/>
  </sheetPr>
  <dimension ref="A1:F13"/>
  <sheetViews>
    <sheetView view="pageBreakPreview" zoomScaleNormal="100" zoomScaleSheetLayoutView="100" workbookViewId="0">
      <selection activeCell="A14" sqref="A14:XFD17"/>
    </sheetView>
  </sheetViews>
  <sheetFormatPr defaultRowHeight="14.5" x14ac:dyDescent="0.35"/>
  <cols>
    <col min="1" max="1" width="5.81640625" customWidth="1"/>
    <col min="2" max="2" width="27.81640625" customWidth="1"/>
    <col min="3" max="3" width="9.1796875" customWidth="1"/>
    <col min="4" max="4" width="9.36328125" customWidth="1"/>
    <col min="5" max="5" width="12.81640625" customWidth="1"/>
    <col min="6" max="6" width="14.36328125" customWidth="1"/>
  </cols>
  <sheetData>
    <row r="1" spans="1:6" ht="27" customHeight="1" x14ac:dyDescent="0.35">
      <c r="A1" s="218" t="s">
        <v>255</v>
      </c>
      <c r="B1" s="218"/>
      <c r="C1" s="218"/>
      <c r="D1" s="218"/>
      <c r="E1" s="218"/>
      <c r="F1" s="218"/>
    </row>
    <row r="2" spans="1:6" ht="15" customHeight="1" x14ac:dyDescent="0.35">
      <c r="A2" s="240" t="s">
        <v>226</v>
      </c>
      <c r="B2" s="241"/>
      <c r="C2" s="241"/>
      <c r="D2" s="241"/>
      <c r="E2" s="241"/>
      <c r="F2" s="242"/>
    </row>
    <row r="3" spans="1:6" ht="39.75" customHeight="1" x14ac:dyDescent="0.35">
      <c r="A3" s="90" t="s">
        <v>59</v>
      </c>
      <c r="B3" s="107" t="s">
        <v>225</v>
      </c>
      <c r="C3" s="90" t="s">
        <v>105</v>
      </c>
      <c r="D3" s="90" t="s">
        <v>224</v>
      </c>
      <c r="E3" s="90" t="s">
        <v>223</v>
      </c>
      <c r="F3" s="90" t="s">
        <v>222</v>
      </c>
    </row>
    <row r="4" spans="1:6" ht="15" customHeight="1" x14ac:dyDescent="0.35">
      <c r="A4" s="65">
        <f>1</f>
        <v>1</v>
      </c>
      <c r="B4" s="106" t="s">
        <v>228</v>
      </c>
      <c r="C4" s="65" t="s">
        <v>108</v>
      </c>
      <c r="D4" s="65">
        <v>8</v>
      </c>
      <c r="E4" s="105">
        <v>55.46</v>
      </c>
      <c r="F4" s="105">
        <f>ROUND(E4*D4,2)</f>
        <v>443.68</v>
      </c>
    </row>
    <row r="5" spans="1:6" ht="15" customHeight="1" x14ac:dyDescent="0.35">
      <c r="A5" s="61">
        <f>A4+1</f>
        <v>2</v>
      </c>
      <c r="B5" s="46" t="s">
        <v>304</v>
      </c>
      <c r="C5" s="61" t="s">
        <v>108</v>
      </c>
      <c r="D5" s="61">
        <v>6</v>
      </c>
      <c r="E5" s="47">
        <v>90.7</v>
      </c>
      <c r="F5" s="47">
        <f>ROUND(E5*D5,2)</f>
        <v>544.20000000000005</v>
      </c>
    </row>
    <row r="6" spans="1:6" ht="15" customHeight="1" x14ac:dyDescent="0.35">
      <c r="A6" s="239" t="s">
        <v>229</v>
      </c>
      <c r="B6" s="239"/>
      <c r="C6" s="239"/>
      <c r="D6" s="239"/>
      <c r="E6" s="239"/>
      <c r="F6" s="64">
        <f>ROUND(SUM(F4:F5),2)</f>
        <v>987.88</v>
      </c>
    </row>
    <row r="7" spans="1:6" ht="15" customHeight="1" x14ac:dyDescent="0.35">
      <c r="A7" s="240" t="s">
        <v>227</v>
      </c>
      <c r="B7" s="241"/>
      <c r="C7" s="241"/>
      <c r="D7" s="241"/>
      <c r="E7" s="241"/>
      <c r="F7" s="242"/>
    </row>
    <row r="8" spans="1:6" ht="39.75" customHeight="1" x14ac:dyDescent="0.35">
      <c r="A8" s="90" t="s">
        <v>59</v>
      </c>
      <c r="B8" s="107" t="s">
        <v>225</v>
      </c>
      <c r="C8" s="90" t="s">
        <v>105</v>
      </c>
      <c r="D8" s="90" t="s">
        <v>224</v>
      </c>
      <c r="E8" s="90" t="s">
        <v>223</v>
      </c>
      <c r="F8" s="90" t="s">
        <v>222</v>
      </c>
    </row>
    <row r="9" spans="1:6" ht="15" customHeight="1" x14ac:dyDescent="0.35">
      <c r="A9" s="65">
        <f>1</f>
        <v>1</v>
      </c>
      <c r="B9" s="106" t="s">
        <v>228</v>
      </c>
      <c r="C9" s="65" t="s">
        <v>108</v>
      </c>
      <c r="D9" s="65">
        <v>8</v>
      </c>
      <c r="E9" s="105">
        <v>55.46</v>
      </c>
      <c r="F9" s="105">
        <f>ROUND(E9*D9,2)</f>
        <v>443.68</v>
      </c>
    </row>
    <row r="10" spans="1:6" ht="15" customHeight="1" x14ac:dyDescent="0.35">
      <c r="A10" s="61">
        <f>A9+1</f>
        <v>2</v>
      </c>
      <c r="B10" s="46" t="s">
        <v>303</v>
      </c>
      <c r="C10" s="61" t="s">
        <v>108</v>
      </c>
      <c r="D10" s="61">
        <v>6</v>
      </c>
      <c r="E10" s="47">
        <v>90.7</v>
      </c>
      <c r="F10" s="47">
        <f>ROUND(E10*D10,2)</f>
        <v>544.20000000000005</v>
      </c>
    </row>
    <row r="11" spans="1:6" ht="15" customHeight="1" x14ac:dyDescent="0.35">
      <c r="A11" s="239" t="s">
        <v>230</v>
      </c>
      <c r="B11" s="239"/>
      <c r="C11" s="239"/>
      <c r="D11" s="239"/>
      <c r="E11" s="239"/>
      <c r="F11" s="64">
        <f>ROUND(SUM(F9:F10),2)</f>
        <v>987.88</v>
      </c>
    </row>
    <row r="12" spans="1:6" ht="25.5" customHeight="1" x14ac:dyDescent="0.35">
      <c r="A12" s="198" t="s">
        <v>231</v>
      </c>
      <c r="B12" s="200"/>
      <c r="C12" s="200"/>
      <c r="D12" s="200"/>
      <c r="E12" s="199"/>
      <c r="F12" s="64">
        <f>ROUND((F6+F11)/2,2)</f>
        <v>987.88</v>
      </c>
    </row>
    <row r="13" spans="1:6" ht="15" customHeight="1" x14ac:dyDescent="0.35">
      <c r="A13" s="239" t="s">
        <v>220</v>
      </c>
      <c r="B13" s="239"/>
      <c r="C13" s="239"/>
      <c r="D13" s="239"/>
      <c r="E13" s="239"/>
      <c r="F13" s="64">
        <f>ROUND(F12/12,2)</f>
        <v>82.32</v>
      </c>
    </row>
  </sheetData>
  <mergeCells count="7">
    <mergeCell ref="A1:F1"/>
    <mergeCell ref="A6:E6"/>
    <mergeCell ref="A13:E13"/>
    <mergeCell ref="A2:F2"/>
    <mergeCell ref="A7:F7"/>
    <mergeCell ref="A11:E11"/>
    <mergeCell ref="A12:E12"/>
  </mergeCells>
  <printOptions horizontalCentered="1"/>
  <pageMargins left="0.23622047244094491" right="0.23622047244094491" top="1.5354330708661419" bottom="0.74803149606299213" header="0.9055118110236221" footer="0.31496062992125984"/>
  <pageSetup fitToHeight="0" orientation="landscape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1F33F-3FF2-42CF-8E34-5FC8D3787EBA}">
  <sheetPr codeName="Planilha21">
    <pageSetUpPr fitToPage="1"/>
  </sheetPr>
  <dimension ref="A1:F18"/>
  <sheetViews>
    <sheetView view="pageBreakPreview" zoomScaleNormal="100" zoomScaleSheetLayoutView="100" workbookViewId="0">
      <selection activeCell="A19" sqref="A19:XFD22"/>
    </sheetView>
  </sheetViews>
  <sheetFormatPr defaultRowHeight="14.5" x14ac:dyDescent="0.35"/>
  <cols>
    <col min="1" max="1" width="5.81640625" customWidth="1"/>
    <col min="2" max="2" width="27.81640625" customWidth="1"/>
    <col min="3" max="3" width="9.1796875" customWidth="1"/>
    <col min="4" max="4" width="9.36328125" customWidth="1"/>
    <col min="5" max="5" width="12.81640625" customWidth="1"/>
    <col min="6" max="6" width="14.36328125" customWidth="1"/>
  </cols>
  <sheetData>
    <row r="1" spans="1:6" ht="27" customHeight="1" x14ac:dyDescent="0.35">
      <c r="A1" s="218" t="s">
        <v>305</v>
      </c>
      <c r="B1" s="218"/>
      <c r="C1" s="218"/>
      <c r="D1" s="218"/>
      <c r="E1" s="218"/>
      <c r="F1" s="218"/>
    </row>
    <row r="2" spans="1:6" ht="15" customHeight="1" x14ac:dyDescent="0.35">
      <c r="A2" s="240" t="s">
        <v>226</v>
      </c>
      <c r="B2" s="241"/>
      <c r="C2" s="241"/>
      <c r="D2" s="241"/>
      <c r="E2" s="241"/>
      <c r="F2" s="242"/>
    </row>
    <row r="3" spans="1:6" ht="39.75" customHeight="1" x14ac:dyDescent="0.35">
      <c r="A3" s="90" t="s">
        <v>59</v>
      </c>
      <c r="B3" s="107" t="s">
        <v>225</v>
      </c>
      <c r="C3" s="90" t="s">
        <v>105</v>
      </c>
      <c r="D3" s="90" t="s">
        <v>224</v>
      </c>
      <c r="E3" s="90" t="s">
        <v>223</v>
      </c>
      <c r="F3" s="90" t="s">
        <v>222</v>
      </c>
    </row>
    <row r="4" spans="1:6" ht="15" customHeight="1" x14ac:dyDescent="0.35">
      <c r="A4" s="65">
        <f>1</f>
        <v>1</v>
      </c>
      <c r="B4" s="106" t="s">
        <v>256</v>
      </c>
      <c r="C4" s="65" t="s">
        <v>108</v>
      </c>
      <c r="D4" s="65">
        <v>4</v>
      </c>
      <c r="E4" s="105">
        <v>335.33</v>
      </c>
      <c r="F4" s="105">
        <f>ROUND(E4*D4,2)</f>
        <v>1341.32</v>
      </c>
    </row>
    <row r="5" spans="1:6" ht="15" customHeight="1" x14ac:dyDescent="0.35">
      <c r="A5" s="61">
        <f>A4+1</f>
        <v>2</v>
      </c>
      <c r="B5" s="46" t="s">
        <v>257</v>
      </c>
      <c r="C5" s="61" t="s">
        <v>108</v>
      </c>
      <c r="D5" s="61">
        <v>4</v>
      </c>
      <c r="E5" s="47">
        <v>96.64</v>
      </c>
      <c r="F5" s="47">
        <f>ROUND(E5*D5,2)</f>
        <v>386.56</v>
      </c>
    </row>
    <row r="6" spans="1:6" ht="15" customHeight="1" x14ac:dyDescent="0.35">
      <c r="A6" s="60">
        <v>3</v>
      </c>
      <c r="B6" s="36" t="s">
        <v>258</v>
      </c>
      <c r="C6" s="60" t="s">
        <v>108</v>
      </c>
      <c r="D6" s="60">
        <v>2</v>
      </c>
      <c r="E6" s="33">
        <v>44</v>
      </c>
      <c r="F6" s="105">
        <f>ROUND(E6*D6,2)</f>
        <v>88</v>
      </c>
    </row>
    <row r="7" spans="1:6" ht="15" customHeight="1" x14ac:dyDescent="0.35">
      <c r="A7" s="61">
        <v>4</v>
      </c>
      <c r="B7" s="46" t="s">
        <v>259</v>
      </c>
      <c r="C7" s="61" t="s">
        <v>221</v>
      </c>
      <c r="D7" s="61">
        <v>4</v>
      </c>
      <c r="E7" s="47">
        <v>23.33</v>
      </c>
      <c r="F7" s="47">
        <f>ROUND(E7*D7,2)</f>
        <v>93.32</v>
      </c>
    </row>
    <row r="8" spans="1:6" ht="15" customHeight="1" x14ac:dyDescent="0.35">
      <c r="A8" s="60">
        <v>5</v>
      </c>
      <c r="B8" s="36" t="s">
        <v>260</v>
      </c>
      <c r="C8" s="60" t="s">
        <v>221</v>
      </c>
      <c r="D8" s="60">
        <v>2</v>
      </c>
      <c r="E8" s="33">
        <v>216</v>
      </c>
      <c r="F8" s="105">
        <f>ROUND(E8*D8,2)</f>
        <v>432</v>
      </c>
    </row>
    <row r="9" spans="1:6" ht="15" customHeight="1" x14ac:dyDescent="0.35">
      <c r="A9" s="239" t="s">
        <v>229</v>
      </c>
      <c r="B9" s="239"/>
      <c r="C9" s="239"/>
      <c r="D9" s="239"/>
      <c r="E9" s="239"/>
      <c r="F9" s="64">
        <f>ROUND(SUM(F4:F8),2)</f>
        <v>2341.1999999999998</v>
      </c>
    </row>
    <row r="10" spans="1:6" ht="15" customHeight="1" x14ac:dyDescent="0.35">
      <c r="A10" s="240" t="s">
        <v>227</v>
      </c>
      <c r="B10" s="241"/>
      <c r="C10" s="241"/>
      <c r="D10" s="241"/>
      <c r="E10" s="241"/>
      <c r="F10" s="242"/>
    </row>
    <row r="11" spans="1:6" ht="39.75" customHeight="1" x14ac:dyDescent="0.35">
      <c r="A11" s="90" t="s">
        <v>59</v>
      </c>
      <c r="B11" s="107" t="s">
        <v>225</v>
      </c>
      <c r="C11" s="90" t="s">
        <v>105</v>
      </c>
      <c r="D11" s="90" t="s">
        <v>224</v>
      </c>
      <c r="E11" s="90" t="s">
        <v>223</v>
      </c>
      <c r="F11" s="90" t="s">
        <v>222</v>
      </c>
    </row>
    <row r="12" spans="1:6" ht="15" customHeight="1" x14ac:dyDescent="0.35">
      <c r="A12" s="65">
        <f>1</f>
        <v>1</v>
      </c>
      <c r="B12" s="106" t="s">
        <v>261</v>
      </c>
      <c r="C12" s="65" t="s">
        <v>108</v>
      </c>
      <c r="D12" s="65">
        <v>4</v>
      </c>
      <c r="E12" s="105">
        <v>335.33</v>
      </c>
      <c r="F12" s="105">
        <f>ROUND(E12*D12,2)</f>
        <v>1341.32</v>
      </c>
    </row>
    <row r="13" spans="1:6" ht="15" customHeight="1" x14ac:dyDescent="0.35">
      <c r="A13" s="61">
        <f>A12+1</f>
        <v>2</v>
      </c>
      <c r="B13" s="46" t="s">
        <v>257</v>
      </c>
      <c r="C13" s="61" t="s">
        <v>108</v>
      </c>
      <c r="D13" s="61">
        <v>4</v>
      </c>
      <c r="E13" s="47">
        <v>93</v>
      </c>
      <c r="F13" s="47">
        <f>ROUND(E13*D13,2)</f>
        <v>372</v>
      </c>
    </row>
    <row r="14" spans="1:6" ht="15" customHeight="1" x14ac:dyDescent="0.35">
      <c r="A14" s="60">
        <v>3</v>
      </c>
      <c r="B14" s="36" t="s">
        <v>259</v>
      </c>
      <c r="C14" s="60" t="s">
        <v>221</v>
      </c>
      <c r="D14" s="60">
        <v>4</v>
      </c>
      <c r="E14" s="33">
        <v>30.5</v>
      </c>
      <c r="F14" s="105">
        <f>ROUND(E14*D14,2)</f>
        <v>122</v>
      </c>
    </row>
    <row r="15" spans="1:6" ht="15" customHeight="1" x14ac:dyDescent="0.35">
      <c r="A15" s="61">
        <v>4</v>
      </c>
      <c r="B15" s="46" t="s">
        <v>260</v>
      </c>
      <c r="C15" s="61" t="s">
        <v>221</v>
      </c>
      <c r="D15" s="61">
        <v>2</v>
      </c>
      <c r="E15" s="47">
        <v>146.27000000000001</v>
      </c>
      <c r="F15" s="47">
        <f>ROUND(E15*D15,2)</f>
        <v>292.54000000000002</v>
      </c>
    </row>
    <row r="16" spans="1:6" ht="15" customHeight="1" x14ac:dyDescent="0.35">
      <c r="A16" s="239" t="s">
        <v>230</v>
      </c>
      <c r="B16" s="239"/>
      <c r="C16" s="239"/>
      <c r="D16" s="239"/>
      <c r="E16" s="239"/>
      <c r="F16" s="64">
        <f>ROUND(SUM(F12:F15),2)</f>
        <v>2127.86</v>
      </c>
    </row>
    <row r="17" spans="1:6" ht="25.5" customHeight="1" x14ac:dyDescent="0.35">
      <c r="A17" s="198" t="s">
        <v>231</v>
      </c>
      <c r="B17" s="200"/>
      <c r="C17" s="200"/>
      <c r="D17" s="200"/>
      <c r="E17" s="199"/>
      <c r="F17" s="64">
        <f>ROUND((F9+F16)/2,2)</f>
        <v>2234.5300000000002</v>
      </c>
    </row>
    <row r="18" spans="1:6" ht="15" customHeight="1" x14ac:dyDescent="0.35">
      <c r="A18" s="239" t="s">
        <v>220</v>
      </c>
      <c r="B18" s="239"/>
      <c r="C18" s="239"/>
      <c r="D18" s="239"/>
      <c r="E18" s="239"/>
      <c r="F18" s="64">
        <f>ROUND(F17/12,2)</f>
        <v>186.21</v>
      </c>
    </row>
  </sheetData>
  <mergeCells count="7">
    <mergeCell ref="A18:E18"/>
    <mergeCell ref="A1:F1"/>
    <mergeCell ref="A2:F2"/>
    <mergeCell ref="A9:E9"/>
    <mergeCell ref="A10:F10"/>
    <mergeCell ref="A16:E16"/>
    <mergeCell ref="A17:E17"/>
  </mergeCells>
  <printOptions horizontalCentered="1"/>
  <pageMargins left="0.23622047244094491" right="0.23622047244094491" top="1.5354330708661419" bottom="0.74803149606299213" header="0.9055118110236221" footer="0.31496062992125984"/>
  <pageSetup fitToHeight="0" orientation="landscape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EA077-5D08-4570-92FF-A23BB3637060}">
  <sheetPr codeName="Planilha22">
    <pageSetUpPr fitToPage="1"/>
  </sheetPr>
  <dimension ref="A1:F7"/>
  <sheetViews>
    <sheetView view="pageBreakPreview" zoomScaleNormal="100" zoomScaleSheetLayoutView="100" workbookViewId="0">
      <selection activeCell="F5" sqref="F5"/>
    </sheetView>
  </sheetViews>
  <sheetFormatPr defaultRowHeight="14.5" x14ac:dyDescent="0.35"/>
  <cols>
    <col min="1" max="1" width="6" customWidth="1"/>
    <col min="2" max="2" width="38.453125" customWidth="1"/>
    <col min="3" max="3" width="9.1796875" customWidth="1"/>
    <col min="5" max="5" width="13.08984375" customWidth="1"/>
    <col min="6" max="6" width="13.90625" customWidth="1"/>
  </cols>
  <sheetData>
    <row r="1" spans="1:6" ht="15" customHeight="1" x14ac:dyDescent="0.35">
      <c r="A1" s="243" t="s">
        <v>266</v>
      </c>
      <c r="B1" s="244"/>
      <c r="C1" s="244"/>
      <c r="D1" s="244"/>
      <c r="E1" s="244"/>
      <c r="F1" s="245"/>
    </row>
    <row r="2" spans="1:6" ht="37.5" customHeight="1" x14ac:dyDescent="0.35">
      <c r="A2" s="90" t="s">
        <v>59</v>
      </c>
      <c r="B2" s="90" t="s">
        <v>225</v>
      </c>
      <c r="C2" s="109" t="s">
        <v>105</v>
      </c>
      <c r="D2" s="109" t="s">
        <v>248</v>
      </c>
      <c r="E2" s="90" t="s">
        <v>223</v>
      </c>
      <c r="F2" s="90" t="s">
        <v>222</v>
      </c>
    </row>
    <row r="3" spans="1:6" ht="15" customHeight="1" x14ac:dyDescent="0.35">
      <c r="A3" s="91">
        <f>1</f>
        <v>1</v>
      </c>
      <c r="B3" s="106" t="s">
        <v>267</v>
      </c>
      <c r="C3" s="91" t="s">
        <v>236</v>
      </c>
      <c r="D3" s="91">
        <v>3</v>
      </c>
      <c r="E3" s="108">
        <v>558.54999999999995</v>
      </c>
      <c r="F3" s="18">
        <f>ROUND(D3*E3,2)</f>
        <v>1675.65</v>
      </c>
    </row>
    <row r="4" spans="1:6" ht="14.5" customHeight="1" x14ac:dyDescent="0.35">
      <c r="A4" s="200" t="s">
        <v>253</v>
      </c>
      <c r="B4" s="200"/>
      <c r="C4" s="200"/>
      <c r="D4" s="200"/>
      <c r="E4" s="199"/>
      <c r="F4" s="29">
        <f>ROUND(SUM(F3:F3),2)</f>
        <v>1675.65</v>
      </c>
    </row>
    <row r="5" spans="1:6" ht="27" customHeight="1" x14ac:dyDescent="0.35">
      <c r="A5" s="198" t="s">
        <v>252</v>
      </c>
      <c r="B5" s="200"/>
      <c r="C5" s="200"/>
      <c r="D5" s="200"/>
      <c r="E5" s="199"/>
      <c r="F5" s="29">
        <f>ROUND(0.6*83*F4/10000,2)</f>
        <v>8.34</v>
      </c>
    </row>
    <row r="6" spans="1:6" ht="27" customHeight="1" x14ac:dyDescent="0.35">
      <c r="A6" s="198" t="s">
        <v>251</v>
      </c>
      <c r="B6" s="200"/>
      <c r="C6" s="200"/>
      <c r="D6" s="200"/>
      <c r="E6" s="199"/>
      <c r="F6" s="29">
        <f>ROUND(F4*(1-0.2)/(12*8),2)</f>
        <v>13.96</v>
      </c>
    </row>
    <row r="7" spans="1:6" ht="27" customHeight="1" x14ac:dyDescent="0.35">
      <c r="A7" s="198" t="s">
        <v>250</v>
      </c>
      <c r="B7" s="200"/>
      <c r="C7" s="200"/>
      <c r="D7" s="200"/>
      <c r="E7" s="199"/>
      <c r="F7" s="29">
        <f>ROUND(F5+F6,2)</f>
        <v>22.3</v>
      </c>
    </row>
  </sheetData>
  <mergeCells count="5">
    <mergeCell ref="A1:F1"/>
    <mergeCell ref="A4:E4"/>
    <mergeCell ref="A5:E5"/>
    <mergeCell ref="A6:E6"/>
    <mergeCell ref="A7:E7"/>
  </mergeCells>
  <printOptions horizontalCentered="1"/>
  <pageMargins left="0.23622047244094491" right="0.23622047244094491" top="1.5354330708661419" bottom="0.74803149606299213" header="0.9055118110236221" footer="0.31496062992125984"/>
  <pageSetup fitToHeight="0" orientation="landscape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387E2-CAB6-49CA-B68D-742323C56F56}">
  <sheetPr codeName="Planilha23">
    <pageSetUpPr fitToPage="1"/>
  </sheetPr>
  <dimension ref="A1:F19"/>
  <sheetViews>
    <sheetView view="pageBreakPreview" zoomScaleNormal="100" zoomScaleSheetLayoutView="100" workbookViewId="0">
      <selection activeCell="B6" sqref="B6"/>
    </sheetView>
  </sheetViews>
  <sheetFormatPr defaultRowHeight="14.5" x14ac:dyDescent="0.35"/>
  <cols>
    <col min="1" max="1" width="6" customWidth="1"/>
    <col min="2" max="2" width="33.453125" customWidth="1"/>
    <col min="3" max="3" width="9.1796875" customWidth="1"/>
    <col min="5" max="5" width="13.54296875" customWidth="1"/>
    <col min="6" max="6" width="13.81640625" customWidth="1"/>
  </cols>
  <sheetData>
    <row r="1" spans="1:6" x14ac:dyDescent="0.35">
      <c r="A1" s="223" t="s">
        <v>254</v>
      </c>
      <c r="B1" s="223"/>
      <c r="C1" s="223"/>
      <c r="D1" s="223"/>
      <c r="E1" s="223"/>
      <c r="F1" s="223"/>
    </row>
    <row r="2" spans="1:6" x14ac:dyDescent="0.35">
      <c r="A2" s="240" t="s">
        <v>249</v>
      </c>
      <c r="B2" s="241"/>
      <c r="C2" s="241"/>
      <c r="D2" s="241"/>
      <c r="E2" s="241"/>
      <c r="F2" s="241"/>
    </row>
    <row r="3" spans="1:6" ht="60" customHeight="1" x14ac:dyDescent="0.35">
      <c r="A3" s="90" t="s">
        <v>59</v>
      </c>
      <c r="B3" s="107" t="s">
        <v>225</v>
      </c>
      <c r="C3" s="90" t="s">
        <v>105</v>
      </c>
      <c r="D3" s="90" t="s">
        <v>248</v>
      </c>
      <c r="E3" s="90" t="s">
        <v>223</v>
      </c>
      <c r="F3" s="90" t="s">
        <v>222</v>
      </c>
    </row>
    <row r="4" spans="1:6" ht="15" customHeight="1" x14ac:dyDescent="0.35">
      <c r="A4" s="65">
        <v>1</v>
      </c>
      <c r="B4" s="87" t="s">
        <v>247</v>
      </c>
      <c r="C4" s="91" t="s">
        <v>221</v>
      </c>
      <c r="D4" s="91">
        <v>2</v>
      </c>
      <c r="E4" s="105">
        <v>327.55</v>
      </c>
      <c r="F4" s="105">
        <f>E4*D4</f>
        <v>655.1</v>
      </c>
    </row>
    <row r="5" spans="1:6" ht="15" customHeight="1" x14ac:dyDescent="0.35">
      <c r="A5" s="61">
        <v>2</v>
      </c>
      <c r="B5" s="94" t="s">
        <v>246</v>
      </c>
      <c r="C5" s="71" t="s">
        <v>221</v>
      </c>
      <c r="D5" s="71">
        <v>2</v>
      </c>
      <c r="E5" s="47">
        <v>16.73</v>
      </c>
      <c r="F5" s="47">
        <f>E5*D5</f>
        <v>33.46</v>
      </c>
    </row>
    <row r="6" spans="1:6" ht="42.75" customHeight="1" x14ac:dyDescent="0.35">
      <c r="A6" s="65">
        <v>3</v>
      </c>
      <c r="B6" s="87" t="s">
        <v>245</v>
      </c>
      <c r="C6" s="91" t="s">
        <v>236</v>
      </c>
      <c r="D6" s="91">
        <v>1</v>
      </c>
      <c r="E6" s="105">
        <v>12.03</v>
      </c>
      <c r="F6" s="105">
        <f>E6*D6</f>
        <v>12.03</v>
      </c>
    </row>
    <row r="7" spans="1:6" ht="34.5" customHeight="1" x14ac:dyDescent="0.35">
      <c r="A7" s="61">
        <v>4</v>
      </c>
      <c r="B7" s="94" t="s">
        <v>244</v>
      </c>
      <c r="C7" s="71" t="s">
        <v>236</v>
      </c>
      <c r="D7" s="71">
        <v>1</v>
      </c>
      <c r="E7" s="47">
        <v>1.84</v>
      </c>
      <c r="F7" s="47">
        <f>E7*D7</f>
        <v>1.84</v>
      </c>
    </row>
    <row r="8" spans="1:6" ht="30.75" customHeight="1" x14ac:dyDescent="0.35">
      <c r="A8" s="65">
        <v>5</v>
      </c>
      <c r="B8" s="87" t="s">
        <v>243</v>
      </c>
      <c r="C8" s="91" t="s">
        <v>242</v>
      </c>
      <c r="D8" s="91">
        <v>1</v>
      </c>
      <c r="E8" s="105">
        <v>4.34</v>
      </c>
      <c r="F8" s="105">
        <f>E8*D8</f>
        <v>4.34</v>
      </c>
    </row>
    <row r="9" spans="1:6" x14ac:dyDescent="0.35">
      <c r="A9" s="246" t="s">
        <v>241</v>
      </c>
      <c r="B9" s="246"/>
      <c r="C9" s="246"/>
      <c r="D9" s="246"/>
      <c r="E9" s="246"/>
      <c r="F9" s="64">
        <f>SUM(F4:F8)</f>
        <v>706.7700000000001</v>
      </c>
    </row>
    <row r="10" spans="1:6" x14ac:dyDescent="0.35">
      <c r="A10" s="246" t="s">
        <v>240</v>
      </c>
      <c r="B10" s="246"/>
      <c r="C10" s="246"/>
      <c r="D10" s="246"/>
      <c r="E10" s="246"/>
      <c r="F10" s="64">
        <f>F9/12</f>
        <v>58.897500000000008</v>
      </c>
    </row>
    <row r="11" spans="1:6" x14ac:dyDescent="0.35">
      <c r="A11" s="247"/>
      <c r="B11" s="247"/>
      <c r="C11" s="247"/>
      <c r="D11" s="247"/>
      <c r="E11" s="247"/>
      <c r="F11" s="247"/>
    </row>
    <row r="12" spans="1:6" x14ac:dyDescent="0.35">
      <c r="A12" s="240" t="s">
        <v>239</v>
      </c>
      <c r="B12" s="241"/>
      <c r="C12" s="241"/>
      <c r="D12" s="241"/>
      <c r="E12" s="241"/>
      <c r="F12" s="241"/>
    </row>
    <row r="13" spans="1:6" ht="39" x14ac:dyDescent="0.35">
      <c r="A13" s="90" t="s">
        <v>59</v>
      </c>
      <c r="B13" s="107" t="s">
        <v>225</v>
      </c>
      <c r="C13" s="90" t="s">
        <v>105</v>
      </c>
      <c r="D13" s="90" t="s">
        <v>248</v>
      </c>
      <c r="E13" s="90" t="s">
        <v>223</v>
      </c>
      <c r="F13" s="90" t="s">
        <v>222</v>
      </c>
    </row>
    <row r="14" spans="1:6" ht="26.25" customHeight="1" x14ac:dyDescent="0.35">
      <c r="A14" s="60">
        <v>6</v>
      </c>
      <c r="B14" s="93" t="s">
        <v>238</v>
      </c>
      <c r="C14" s="70" t="s">
        <v>236</v>
      </c>
      <c r="D14" s="70">
        <v>1</v>
      </c>
      <c r="E14" s="33">
        <v>27.65</v>
      </c>
      <c r="F14" s="33">
        <f>E14*D14</f>
        <v>27.65</v>
      </c>
    </row>
    <row r="15" spans="1:6" ht="24" customHeight="1" x14ac:dyDescent="0.35">
      <c r="A15" s="61">
        <v>7</v>
      </c>
      <c r="B15" s="94" t="s">
        <v>237</v>
      </c>
      <c r="C15" s="71" t="s">
        <v>236</v>
      </c>
      <c r="D15" s="71">
        <v>1</v>
      </c>
      <c r="E15" s="47">
        <v>422.36</v>
      </c>
      <c r="F15" s="47">
        <f>E15*D15</f>
        <v>422.36</v>
      </c>
    </row>
    <row r="16" spans="1:6" ht="15" customHeight="1" x14ac:dyDescent="0.35">
      <c r="A16" s="60">
        <v>8</v>
      </c>
      <c r="B16" s="93" t="s">
        <v>235</v>
      </c>
      <c r="C16" s="70" t="s">
        <v>221</v>
      </c>
      <c r="D16" s="70">
        <v>1</v>
      </c>
      <c r="E16" s="33">
        <v>26.96</v>
      </c>
      <c r="F16" s="33">
        <f>E16*D16</f>
        <v>26.96</v>
      </c>
    </row>
    <row r="17" spans="1:6" x14ac:dyDescent="0.35">
      <c r="A17" s="246" t="s">
        <v>234</v>
      </c>
      <c r="B17" s="246"/>
      <c r="C17" s="246"/>
      <c r="D17" s="246"/>
      <c r="E17" s="246"/>
      <c r="F17" s="64">
        <f>SUM(F14:F16)</f>
        <v>476.96999999999997</v>
      </c>
    </row>
    <row r="18" spans="1:6" x14ac:dyDescent="0.35">
      <c r="A18" s="239" t="s">
        <v>233</v>
      </c>
      <c r="B18" s="239"/>
      <c r="C18" s="239"/>
      <c r="D18" s="239"/>
      <c r="E18" s="239"/>
      <c r="F18" s="64">
        <f>F17/30</f>
        <v>15.898999999999999</v>
      </c>
    </row>
    <row r="19" spans="1:6" x14ac:dyDescent="0.35">
      <c r="A19" s="239" t="s">
        <v>232</v>
      </c>
      <c r="B19" s="239"/>
      <c r="C19" s="239"/>
      <c r="D19" s="239"/>
      <c r="E19" s="239"/>
      <c r="F19" s="64">
        <f>F10+F18</f>
        <v>74.796500000000009</v>
      </c>
    </row>
  </sheetData>
  <mergeCells count="9">
    <mergeCell ref="A17:E17"/>
    <mergeCell ref="A18:E18"/>
    <mergeCell ref="A19:E19"/>
    <mergeCell ref="A1:F1"/>
    <mergeCell ref="A2:F2"/>
    <mergeCell ref="A9:E9"/>
    <mergeCell ref="A12:F12"/>
    <mergeCell ref="A10:E10"/>
    <mergeCell ref="A11:F11"/>
  </mergeCells>
  <printOptions horizontalCentered="1"/>
  <pageMargins left="0.23622047244094491" right="0.23622047244094491" top="1.5354330708661419" bottom="0.94488188976377963" header="0.9055118110236221" footer="0.31496062992125984"/>
  <pageSetup scale="99" orientation="landscape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97A17-8900-4CC9-84A6-AAAEFEC8272E}">
  <sheetPr codeName="Planilha24">
    <pageSetUpPr fitToPage="1"/>
  </sheetPr>
  <dimension ref="A1:F21"/>
  <sheetViews>
    <sheetView view="pageBreakPreview" zoomScaleNormal="100" zoomScaleSheetLayoutView="100" workbookViewId="0">
      <selection activeCell="E14" sqref="E14"/>
    </sheetView>
  </sheetViews>
  <sheetFormatPr defaultRowHeight="14.5" x14ac:dyDescent="0.35"/>
  <cols>
    <col min="2" max="2" width="32.1796875" bestFit="1" customWidth="1"/>
    <col min="3" max="4" width="13.6328125" customWidth="1"/>
    <col min="5" max="5" width="14.453125" customWidth="1"/>
    <col min="6" max="6" width="14.26953125" customWidth="1"/>
    <col min="7" max="7" width="14.6328125" customWidth="1"/>
  </cols>
  <sheetData>
    <row r="1" spans="1:6" x14ac:dyDescent="0.35">
      <c r="A1" s="251" t="s">
        <v>172</v>
      </c>
      <c r="B1" s="251"/>
      <c r="C1" s="251"/>
      <c r="D1" s="251"/>
      <c r="E1" s="251"/>
      <c r="F1" s="251"/>
    </row>
    <row r="2" spans="1:6" ht="14.5" customHeight="1" x14ac:dyDescent="0.35">
      <c r="A2" s="223" t="s">
        <v>162</v>
      </c>
      <c r="B2" s="223"/>
      <c r="C2" s="223"/>
      <c r="D2" s="223"/>
      <c r="E2" s="223"/>
      <c r="F2" s="223"/>
    </row>
    <row r="3" spans="1:6" ht="36.5" customHeight="1" x14ac:dyDescent="0.35">
      <c r="A3" s="117" t="s">
        <v>59</v>
      </c>
      <c r="B3" s="107" t="s">
        <v>142</v>
      </c>
      <c r="C3" s="90" t="s">
        <v>81</v>
      </c>
      <c r="D3" s="90" t="s">
        <v>82</v>
      </c>
      <c r="E3" s="90" t="s">
        <v>83</v>
      </c>
      <c r="F3" s="90" t="s">
        <v>84</v>
      </c>
    </row>
    <row r="4" spans="1:6" x14ac:dyDescent="0.35">
      <c r="A4" s="65">
        <v>1</v>
      </c>
      <c r="B4" s="72" t="str">
        <f>'Quantidade de Hora-Extra'!A4</f>
        <v>Copeiro II</v>
      </c>
      <c r="C4" s="60">
        <f>'Quantidade de Hora-Extra'!B4</f>
        <v>1</v>
      </c>
      <c r="D4" s="33">
        <f>'Quantidade de Hora-Extra'!C4</f>
        <v>84</v>
      </c>
      <c r="E4" s="33">
        <f>'Hr-Extra Copeira II'!D90</f>
        <v>19.309999999999999</v>
      </c>
      <c r="F4" s="33">
        <f t="shared" ref="F4" si="0">ROUND(C4*D4*E4,2)</f>
        <v>1622.04</v>
      </c>
    </row>
    <row r="5" spans="1:6" x14ac:dyDescent="0.35">
      <c r="A5" s="61">
        <v>2</v>
      </c>
      <c r="B5" s="94" t="str">
        <f>'Quantidade de Hora-Extra'!A5</f>
        <v>Motorista</v>
      </c>
      <c r="C5" s="61">
        <f>'Quantidade de Hora-Extra'!B5</f>
        <v>2</v>
      </c>
      <c r="D5" s="47">
        <f>'Quantidade de Hora-Extra'!C5</f>
        <v>21</v>
      </c>
      <c r="E5" s="47">
        <f>'Hr-Extra Motorista'!D89</f>
        <v>22.76</v>
      </c>
      <c r="F5" s="47">
        <f t="shared" ref="F5:F7" si="1">ROUND(C5*D5*E5,2)</f>
        <v>955.92</v>
      </c>
    </row>
    <row r="6" spans="1:6" x14ac:dyDescent="0.35">
      <c r="A6" s="65">
        <v>3</v>
      </c>
      <c r="B6" s="93" t="str">
        <f>'Quantidade de Hora-Extra'!A6</f>
        <v>Oficial de Manutenção</v>
      </c>
      <c r="C6" s="60">
        <f>'Quantidade de Hora-Extra'!B6</f>
        <v>1</v>
      </c>
      <c r="D6" s="33">
        <f>'Quantidade de Hora-Extra'!C6</f>
        <v>21</v>
      </c>
      <c r="E6" s="33">
        <f>'Hr-Extra Oficial de Manutenção'!D89</f>
        <v>33.78</v>
      </c>
      <c r="F6" s="33">
        <f t="shared" ref="F6:F8" si="2">ROUND(C6*D6*E6,2)</f>
        <v>709.38</v>
      </c>
    </row>
    <row r="7" spans="1:6" x14ac:dyDescent="0.35">
      <c r="A7" s="61">
        <v>4</v>
      </c>
      <c r="B7" s="94" t="str">
        <f>'Quantidade de Hora-Extra'!A7</f>
        <v>Técnico de Suporte I</v>
      </c>
      <c r="C7" s="61">
        <f>'Quantidade de Hora-Extra'!B7</f>
        <v>1</v>
      </c>
      <c r="D7" s="47">
        <f>'Quantidade de Hora-Extra'!C7</f>
        <v>40</v>
      </c>
      <c r="E7" s="47">
        <f>'Hr-Extra Técnico de Suporte I'!D89</f>
        <v>37.520000000000003</v>
      </c>
      <c r="F7" s="47">
        <f t="shared" si="1"/>
        <v>1500.8</v>
      </c>
    </row>
    <row r="8" spans="1:6" x14ac:dyDescent="0.35">
      <c r="A8" s="60">
        <v>5</v>
      </c>
      <c r="B8" s="93" t="str">
        <f>'Quantidade de Hora-Extra'!A8</f>
        <v>Técnico de Suporte II</v>
      </c>
      <c r="C8" s="60">
        <v>1</v>
      </c>
      <c r="D8" s="33">
        <f>'Quantidade de Hora-Extra'!C8</f>
        <v>40</v>
      </c>
      <c r="E8" s="33">
        <f>'Hr-Extra Técnico de Suporte II'!D89</f>
        <v>46.53</v>
      </c>
      <c r="F8" s="33">
        <f t="shared" si="2"/>
        <v>1861.2</v>
      </c>
    </row>
    <row r="9" spans="1:6" x14ac:dyDescent="0.35">
      <c r="A9" s="239" t="s">
        <v>163</v>
      </c>
      <c r="B9" s="239"/>
      <c r="C9" s="56">
        <f>ROUND(SUM(C4:C8),2)</f>
        <v>6</v>
      </c>
      <c r="D9" s="56">
        <f>ROUND(SUM(D4:D8),2)</f>
        <v>206</v>
      </c>
      <c r="E9" s="57">
        <f>ROUND(SUM(E4:E8),2)</f>
        <v>159.9</v>
      </c>
      <c r="F9" s="57">
        <f>ROUND(SUM(F4:F8),2)</f>
        <v>6649.34</v>
      </c>
    </row>
    <row r="10" spans="1:6" ht="8" customHeight="1" x14ac:dyDescent="0.35"/>
    <row r="11" spans="1:6" x14ac:dyDescent="0.35">
      <c r="A11" s="223" t="s">
        <v>164</v>
      </c>
      <c r="B11" s="223"/>
      <c r="C11" s="223"/>
      <c r="D11" s="223"/>
      <c r="E11" s="223"/>
      <c r="F11" s="223"/>
    </row>
    <row r="12" spans="1:6" ht="36.5" customHeight="1" x14ac:dyDescent="0.35">
      <c r="A12" s="117" t="s">
        <v>59</v>
      </c>
      <c r="B12" s="107" t="s">
        <v>142</v>
      </c>
      <c r="C12" s="90" t="s">
        <v>165</v>
      </c>
      <c r="D12" s="90" t="s">
        <v>166</v>
      </c>
      <c r="E12" s="90" t="s">
        <v>167</v>
      </c>
      <c r="F12" s="90" t="s">
        <v>168</v>
      </c>
    </row>
    <row r="13" spans="1:6" x14ac:dyDescent="0.35">
      <c r="A13" s="65">
        <v>1</v>
      </c>
      <c r="B13" s="66" t="str">
        <f t="shared" ref="B13:C17" si="3">B4</f>
        <v>Copeiro II</v>
      </c>
      <c r="C13" s="60">
        <f t="shared" si="3"/>
        <v>1</v>
      </c>
      <c r="D13" s="33">
        <f>'Quantidade de Hora-Extra'!D4</f>
        <v>36</v>
      </c>
      <c r="E13" s="33">
        <f>'Hr-Extra Copeira II'!D91</f>
        <v>25.74</v>
      </c>
      <c r="F13" s="33">
        <f t="shared" ref="F13:F17" si="4">ROUND(C13*D13*E13,2)</f>
        <v>926.64</v>
      </c>
    </row>
    <row r="14" spans="1:6" x14ac:dyDescent="0.35">
      <c r="A14" s="61">
        <v>2</v>
      </c>
      <c r="B14" s="94" t="str">
        <f t="shared" si="3"/>
        <v>Motorista</v>
      </c>
      <c r="C14" s="61">
        <f t="shared" si="3"/>
        <v>2</v>
      </c>
      <c r="D14" s="47">
        <f>'Quantidade de Hora-Extra'!D5</f>
        <v>9</v>
      </c>
      <c r="E14" s="47">
        <f>'Hr-Extra Motorista'!D90</f>
        <v>30.34</v>
      </c>
      <c r="F14" s="47">
        <f t="shared" si="4"/>
        <v>546.12</v>
      </c>
    </row>
    <row r="15" spans="1:6" x14ac:dyDescent="0.35">
      <c r="A15" s="60">
        <v>3</v>
      </c>
      <c r="B15" s="93" t="str">
        <f t="shared" si="3"/>
        <v>Oficial de Manutenção</v>
      </c>
      <c r="C15" s="60">
        <f t="shared" si="3"/>
        <v>1</v>
      </c>
      <c r="D15" s="33">
        <f>'Quantidade de Hora-Extra'!D6</f>
        <v>9</v>
      </c>
      <c r="E15" s="33">
        <f>'Hr-Extra Oficial de Manutenção'!D90</f>
        <v>45.04</v>
      </c>
      <c r="F15" s="33">
        <f t="shared" si="4"/>
        <v>405.36</v>
      </c>
    </row>
    <row r="16" spans="1:6" x14ac:dyDescent="0.35">
      <c r="A16" s="61">
        <v>4</v>
      </c>
      <c r="B16" s="94" t="str">
        <f t="shared" si="3"/>
        <v>Técnico de Suporte I</v>
      </c>
      <c r="C16" s="61">
        <f t="shared" si="3"/>
        <v>1</v>
      </c>
      <c r="D16" s="47">
        <f>'Quantidade de Hora-Extra'!D7</f>
        <v>4</v>
      </c>
      <c r="E16" s="47">
        <f>'Hr-Extra Técnico de Suporte I'!D90</f>
        <v>50.02</v>
      </c>
      <c r="F16" s="47">
        <f t="shared" si="4"/>
        <v>200.08</v>
      </c>
    </row>
    <row r="17" spans="1:6" x14ac:dyDescent="0.35">
      <c r="A17" s="60">
        <v>5</v>
      </c>
      <c r="B17" s="93" t="str">
        <f t="shared" si="3"/>
        <v>Técnico de Suporte II</v>
      </c>
      <c r="C17" s="60">
        <v>1</v>
      </c>
      <c r="D17" s="33">
        <f>'Quantidade de Hora-Extra'!D8</f>
        <v>4</v>
      </c>
      <c r="E17" s="33">
        <f>'Hr-Extra Técnico de Suporte II'!D90</f>
        <v>62.04</v>
      </c>
      <c r="F17" s="33">
        <f t="shared" si="4"/>
        <v>248.16</v>
      </c>
    </row>
    <row r="18" spans="1:6" x14ac:dyDescent="0.35">
      <c r="A18" s="239" t="s">
        <v>169</v>
      </c>
      <c r="B18" s="239"/>
      <c r="C18" s="56">
        <f>ROUND(SUM(C13:C17),2)</f>
        <v>6</v>
      </c>
      <c r="D18" s="56">
        <f>ROUND(SUM(D13:D17),2)</f>
        <v>62</v>
      </c>
      <c r="E18" s="57">
        <f>ROUND(SUM(E13:E17),2)</f>
        <v>213.18</v>
      </c>
      <c r="F18" s="57">
        <f>ROUND(SUM(F13:F17),2)</f>
        <v>2326.36</v>
      </c>
    </row>
    <row r="19" spans="1:6" ht="8" customHeight="1" x14ac:dyDescent="0.35"/>
    <row r="20" spans="1:6" x14ac:dyDescent="0.35">
      <c r="A20" s="248" t="s">
        <v>170</v>
      </c>
      <c r="B20" s="249"/>
      <c r="C20" s="249"/>
      <c r="D20" s="249"/>
      <c r="E20" s="250"/>
      <c r="F20" s="57">
        <f>ROUND(F9+F18,2)</f>
        <v>8975.7000000000007</v>
      </c>
    </row>
    <row r="21" spans="1:6" x14ac:dyDescent="0.35">
      <c r="A21" s="248" t="s">
        <v>171</v>
      </c>
      <c r="B21" s="249"/>
      <c r="C21" s="249"/>
      <c r="D21" s="249"/>
      <c r="E21" s="250"/>
      <c r="F21" s="57">
        <f>ROUND(F20/12,2)</f>
        <v>747.98</v>
      </c>
    </row>
  </sheetData>
  <mergeCells count="7">
    <mergeCell ref="A21:E21"/>
    <mergeCell ref="A2:F2"/>
    <mergeCell ref="A1:F1"/>
    <mergeCell ref="A9:B9"/>
    <mergeCell ref="A11:F11"/>
    <mergeCell ref="A18:B18"/>
    <mergeCell ref="A20:E20"/>
  </mergeCells>
  <printOptions horizontalCentered="1"/>
  <pageMargins left="0.23622047244094491" right="0.23622047244094491" top="1.5354330708661419" bottom="0.74803149606299213" header="0.9055118110236221" footer="0.31496062992125984"/>
  <pageSetup fitToHeight="0" orientation="landscape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CB6DC-6D3B-4D30-96C5-4C5F91E5D3F4}">
  <sheetPr codeName="Planilha14">
    <pageSetUpPr fitToPage="1"/>
  </sheetPr>
  <dimension ref="A1:D107"/>
  <sheetViews>
    <sheetView view="pageBreakPreview" zoomScaleNormal="100" zoomScaleSheetLayoutView="100" workbookViewId="0">
      <selection activeCell="C24" sqref="C24"/>
    </sheetView>
  </sheetViews>
  <sheetFormatPr defaultRowHeight="14.5" x14ac:dyDescent="0.35"/>
  <cols>
    <col min="1" max="1" width="33.453125" customWidth="1"/>
    <col min="2" max="2" width="14.54296875" customWidth="1"/>
    <col min="3" max="3" width="10.81640625" customWidth="1"/>
    <col min="4" max="4" width="12.26953125" customWidth="1"/>
  </cols>
  <sheetData>
    <row r="1" spans="1:4" ht="30" customHeight="1" x14ac:dyDescent="0.35">
      <c r="A1" s="218" t="s">
        <v>284</v>
      </c>
      <c r="B1" s="218"/>
      <c r="C1" s="218"/>
      <c r="D1" s="218"/>
    </row>
    <row r="2" spans="1:4" ht="30.5" customHeight="1" x14ac:dyDescent="0.35">
      <c r="A2" s="23" t="s">
        <v>2</v>
      </c>
      <c r="B2" s="214" t="str">
        <f>'Quantidade de Cargo'!A12</f>
        <v>Copeiro II</v>
      </c>
      <c r="C2" s="215"/>
      <c r="D2" s="216"/>
    </row>
    <row r="3" spans="1:4" ht="15" customHeight="1" x14ac:dyDescent="0.35">
      <c r="A3" s="23" t="s">
        <v>61</v>
      </c>
      <c r="B3" s="219" t="str">
        <f>'Salario Base'!B15</f>
        <v>5134-25</v>
      </c>
      <c r="C3" s="220"/>
      <c r="D3" s="221"/>
    </row>
    <row r="4" spans="1:4" ht="15" customHeight="1" x14ac:dyDescent="0.35">
      <c r="A4" s="24" t="s">
        <v>1</v>
      </c>
      <c r="B4" s="214" t="s">
        <v>143</v>
      </c>
      <c r="C4" s="215"/>
      <c r="D4" s="216"/>
    </row>
    <row r="5" spans="1:4" ht="26" x14ac:dyDescent="0.35">
      <c r="A5" s="24" t="s">
        <v>3</v>
      </c>
      <c r="B5" s="222">
        <v>1</v>
      </c>
      <c r="C5" s="220"/>
      <c r="D5" s="221"/>
    </row>
    <row r="6" spans="1:4" ht="65.5" customHeight="1" x14ac:dyDescent="0.35">
      <c r="A6" s="24" t="s">
        <v>62</v>
      </c>
      <c r="B6" s="214" t="s">
        <v>275</v>
      </c>
      <c r="C6" s="215"/>
      <c r="D6" s="216"/>
    </row>
    <row r="7" spans="1:4" ht="15" customHeight="1" x14ac:dyDescent="0.35">
      <c r="A7" s="2"/>
      <c r="B7" s="16"/>
      <c r="C7" s="3"/>
      <c r="D7" s="3"/>
    </row>
    <row r="8" spans="1:4" x14ac:dyDescent="0.35">
      <c r="A8" s="223" t="s">
        <v>4</v>
      </c>
      <c r="B8" s="223"/>
      <c r="C8" s="223"/>
      <c r="D8" s="223"/>
    </row>
    <row r="9" spans="1:4" x14ac:dyDescent="0.35">
      <c r="A9" s="224" t="s">
        <v>70</v>
      </c>
      <c r="B9" s="225"/>
      <c r="C9" s="225"/>
      <c r="D9" s="226"/>
    </row>
    <row r="10" spans="1:4" x14ac:dyDescent="0.35">
      <c r="A10" s="227" t="s">
        <v>5</v>
      </c>
      <c r="B10" s="228"/>
      <c r="C10" s="90" t="s">
        <v>6</v>
      </c>
      <c r="D10" s="90" t="s">
        <v>7</v>
      </c>
    </row>
    <row r="11" spans="1:4" ht="40.5" customHeight="1" x14ac:dyDescent="0.35">
      <c r="A11" s="176" t="s">
        <v>8</v>
      </c>
      <c r="B11" s="178"/>
      <c r="C11" s="91" t="s">
        <v>60</v>
      </c>
      <c r="D11" s="4">
        <f>'Salario Base'!C15</f>
        <v>1415.83</v>
      </c>
    </row>
    <row r="12" spans="1:4" ht="15" customHeight="1" x14ac:dyDescent="0.35">
      <c r="A12" s="229" t="s">
        <v>66</v>
      </c>
      <c r="B12" s="230"/>
      <c r="C12" s="53"/>
      <c r="D12" s="42">
        <f>C12*D11/100</f>
        <v>0</v>
      </c>
    </row>
    <row r="13" spans="1:4" x14ac:dyDescent="0.35">
      <c r="A13" s="217" t="s">
        <v>20</v>
      </c>
      <c r="B13" s="217"/>
      <c r="C13" s="217"/>
      <c r="D13" s="29">
        <f>ROUND(SUM(D11:D12),2)</f>
        <v>1415.83</v>
      </c>
    </row>
    <row r="14" spans="1:4" x14ac:dyDescent="0.35">
      <c r="A14" s="3"/>
      <c r="B14" s="3"/>
      <c r="C14" s="3"/>
      <c r="D14" s="3"/>
    </row>
    <row r="15" spans="1:4" x14ac:dyDescent="0.35">
      <c r="A15" s="202" t="s">
        <v>71</v>
      </c>
      <c r="B15" s="202"/>
      <c r="C15" s="202"/>
      <c r="D15" s="202"/>
    </row>
    <row r="16" spans="1:4" x14ac:dyDescent="0.35">
      <c r="A16" s="202" t="s">
        <v>10</v>
      </c>
      <c r="B16" s="202"/>
      <c r="C16" s="90" t="s">
        <v>6</v>
      </c>
      <c r="D16" s="90" t="s">
        <v>7</v>
      </c>
    </row>
    <row r="17" spans="1:4" x14ac:dyDescent="0.35">
      <c r="A17" s="176" t="s">
        <v>11</v>
      </c>
      <c r="B17" s="178"/>
      <c r="C17" s="11">
        <v>0.2</v>
      </c>
      <c r="D17" s="5">
        <f>ROUND($D$13*C17,2)</f>
        <v>283.17</v>
      </c>
    </row>
    <row r="18" spans="1:4" x14ac:dyDescent="0.35">
      <c r="A18" s="196" t="s">
        <v>12</v>
      </c>
      <c r="B18" s="197"/>
      <c r="C18" s="52">
        <v>0.08</v>
      </c>
      <c r="D18" s="42">
        <f t="shared" ref="D18:D24" si="0">ROUND($D$13*C18,2)</f>
        <v>113.27</v>
      </c>
    </row>
    <row r="19" spans="1:4" x14ac:dyDescent="0.35">
      <c r="A19" s="176" t="s">
        <v>13</v>
      </c>
      <c r="B19" s="178"/>
      <c r="C19" s="11">
        <v>1.4999999999999999E-2</v>
      </c>
      <c r="D19" s="5">
        <f t="shared" si="0"/>
        <v>21.24</v>
      </c>
    </row>
    <row r="20" spans="1:4" ht="25.5" customHeight="1" x14ac:dyDescent="0.35">
      <c r="A20" s="196" t="s">
        <v>14</v>
      </c>
      <c r="B20" s="197"/>
      <c r="C20" s="52">
        <v>0.01</v>
      </c>
      <c r="D20" s="42">
        <f t="shared" si="0"/>
        <v>14.16</v>
      </c>
    </row>
    <row r="21" spans="1:4" ht="28.5" customHeight="1" x14ac:dyDescent="0.35">
      <c r="A21" s="176" t="s">
        <v>15</v>
      </c>
      <c r="B21" s="178"/>
      <c r="C21" s="11">
        <v>2E-3</v>
      </c>
      <c r="D21" s="5">
        <f t="shared" si="0"/>
        <v>2.83</v>
      </c>
    </row>
    <row r="22" spans="1:4" x14ac:dyDescent="0.35">
      <c r="A22" s="196" t="s">
        <v>16</v>
      </c>
      <c r="B22" s="197"/>
      <c r="C22" s="52">
        <v>6.0000000000000001E-3</v>
      </c>
      <c r="D22" s="42">
        <f t="shared" si="0"/>
        <v>8.49</v>
      </c>
    </row>
    <row r="23" spans="1:4" x14ac:dyDescent="0.35">
      <c r="A23" s="212" t="s">
        <v>17</v>
      </c>
      <c r="B23" s="213"/>
      <c r="C23" s="11">
        <v>2.5000000000000001E-2</v>
      </c>
      <c r="D23" s="5">
        <f t="shared" si="0"/>
        <v>35.4</v>
      </c>
    </row>
    <row r="24" spans="1:4" ht="39.75" customHeight="1" x14ac:dyDescent="0.35">
      <c r="A24" s="229" t="s">
        <v>18</v>
      </c>
      <c r="B24" s="230"/>
      <c r="C24" s="50">
        <v>0.06</v>
      </c>
      <c r="D24" s="42">
        <f t="shared" si="0"/>
        <v>84.95</v>
      </c>
    </row>
    <row r="25" spans="1:4" x14ac:dyDescent="0.35">
      <c r="A25" s="198" t="s">
        <v>19</v>
      </c>
      <c r="B25" s="199"/>
      <c r="C25" s="30">
        <f>ROUND(SUM(C17:C24),5)</f>
        <v>0.39800000000000002</v>
      </c>
      <c r="D25" s="29">
        <f>ROUND(SUM(D17:D24),2)</f>
        <v>563.51</v>
      </c>
    </row>
    <row r="26" spans="1:4" x14ac:dyDescent="0.35">
      <c r="A26" s="20"/>
      <c r="B26" s="20"/>
      <c r="C26" s="6"/>
      <c r="D26" s="7"/>
    </row>
    <row r="27" spans="1:4" x14ac:dyDescent="0.35">
      <c r="A27" s="202" t="s">
        <v>21</v>
      </c>
      <c r="B27" s="202"/>
      <c r="C27" s="90" t="s">
        <v>6</v>
      </c>
      <c r="D27" s="90" t="s">
        <v>7</v>
      </c>
    </row>
    <row r="28" spans="1:4" ht="25" customHeight="1" x14ac:dyDescent="0.35">
      <c r="A28" s="212" t="s">
        <v>22</v>
      </c>
      <c r="B28" s="213"/>
      <c r="C28" s="9">
        <f>ROUND(1/12,5)</f>
        <v>8.3330000000000001E-2</v>
      </c>
      <c r="D28" s="5">
        <f>ROUND($D$13*C28,2)</f>
        <v>117.98</v>
      </c>
    </row>
    <row r="29" spans="1:4" ht="25" customHeight="1" x14ac:dyDescent="0.35">
      <c r="A29" s="196" t="s">
        <v>263</v>
      </c>
      <c r="B29" s="197"/>
      <c r="C29" s="51">
        <f>ROUND((1/3)/12,5)</f>
        <v>2.7779999999999999E-2</v>
      </c>
      <c r="D29" s="42">
        <f t="shared" ref="D29:D36" si="1">ROUND($D$13*C29,2)</f>
        <v>39.33</v>
      </c>
    </row>
    <row r="30" spans="1:4" ht="25" customHeight="1" x14ac:dyDescent="0.35">
      <c r="A30" s="176" t="s">
        <v>23</v>
      </c>
      <c r="B30" s="178"/>
      <c r="C30" s="10">
        <f>ROUND((((100% / 30) * 7) / 12),5)</f>
        <v>1.9439999999999999E-2</v>
      </c>
      <c r="D30" s="5">
        <f t="shared" si="1"/>
        <v>27.52</v>
      </c>
    </row>
    <row r="31" spans="1:4" ht="25" customHeight="1" x14ac:dyDescent="0.35">
      <c r="A31" s="196" t="s">
        <v>24</v>
      </c>
      <c r="B31" s="197"/>
      <c r="C31" s="51">
        <f>ROUND((5/30)/12,5)</f>
        <v>1.389E-2</v>
      </c>
      <c r="D31" s="42">
        <f t="shared" si="1"/>
        <v>19.670000000000002</v>
      </c>
    </row>
    <row r="32" spans="1:4" ht="25" customHeight="1" x14ac:dyDescent="0.35">
      <c r="A32" s="176" t="s">
        <v>25</v>
      </c>
      <c r="B32" s="178"/>
      <c r="C32" s="10">
        <f>ROUND(((15/30/12)*0.08),5)</f>
        <v>3.3300000000000001E-3</v>
      </c>
      <c r="D32" s="5">
        <f t="shared" si="1"/>
        <v>4.71</v>
      </c>
    </row>
    <row r="33" spans="1:4" ht="25" customHeight="1" x14ac:dyDescent="0.35">
      <c r="A33" s="196" t="s">
        <v>26</v>
      </c>
      <c r="B33" s="197"/>
      <c r="C33" s="51">
        <f>ROUND((1/30)/12,5)</f>
        <v>2.7799999999999999E-3</v>
      </c>
      <c r="D33" s="42">
        <f t="shared" si="1"/>
        <v>3.94</v>
      </c>
    </row>
    <row r="34" spans="1:4" ht="25" customHeight="1" x14ac:dyDescent="0.35">
      <c r="A34" s="176" t="s">
        <v>27</v>
      </c>
      <c r="B34" s="178"/>
      <c r="C34" s="10">
        <f>ROUND(0.1111*0.02*0.333,5)</f>
        <v>7.3999999999999999E-4</v>
      </c>
      <c r="D34" s="5">
        <f t="shared" si="1"/>
        <v>1.05</v>
      </c>
    </row>
    <row r="35" spans="1:4" ht="25" customHeight="1" x14ac:dyDescent="0.35">
      <c r="A35" s="196" t="s">
        <v>28</v>
      </c>
      <c r="B35" s="197"/>
      <c r="C35" s="51">
        <f>ROUND(((5/30)/12)*0.015,5)</f>
        <v>2.1000000000000001E-4</v>
      </c>
      <c r="D35" s="42">
        <f t="shared" si="1"/>
        <v>0.3</v>
      </c>
    </row>
    <row r="36" spans="1:4" ht="25" customHeight="1" x14ac:dyDescent="0.35">
      <c r="A36" s="176" t="s">
        <v>264</v>
      </c>
      <c r="B36" s="178"/>
      <c r="C36" s="10">
        <f>ROUND(1/12,5)</f>
        <v>8.3330000000000001E-2</v>
      </c>
      <c r="D36" s="5">
        <f t="shared" si="1"/>
        <v>117.98</v>
      </c>
    </row>
    <row r="37" spans="1:4" x14ac:dyDescent="0.35">
      <c r="A37" s="198" t="s">
        <v>29</v>
      </c>
      <c r="B37" s="199"/>
      <c r="C37" s="30">
        <f>ROUND(SUM(C28:C36),5)</f>
        <v>0.23483000000000001</v>
      </c>
      <c r="D37" s="29">
        <f>ROUND(SUM(D28:D36),2)</f>
        <v>332.48</v>
      </c>
    </row>
    <row r="38" spans="1:4" x14ac:dyDescent="0.35">
      <c r="A38" s="20"/>
      <c r="B38" s="20"/>
      <c r="C38" s="8"/>
      <c r="D38" s="7"/>
    </row>
    <row r="39" spans="1:4" x14ac:dyDescent="0.35">
      <c r="A39" s="207" t="s">
        <v>30</v>
      </c>
      <c r="B39" s="208"/>
      <c r="C39" s="90" t="s">
        <v>6</v>
      </c>
      <c r="D39" s="90" t="s">
        <v>7</v>
      </c>
    </row>
    <row r="40" spans="1:4" ht="25" customHeight="1" x14ac:dyDescent="0.35">
      <c r="A40" s="210" t="s">
        <v>31</v>
      </c>
      <c r="B40" s="211"/>
      <c r="C40" s="12">
        <f>ROUND(1/12*5%,5)</f>
        <v>4.1700000000000001E-3</v>
      </c>
      <c r="D40" s="54">
        <f>ROUND($D$13*C40,2)</f>
        <v>5.9</v>
      </c>
    </row>
    <row r="41" spans="1:4" ht="25" customHeight="1" x14ac:dyDescent="0.35">
      <c r="A41" s="196" t="s">
        <v>32</v>
      </c>
      <c r="B41" s="197"/>
      <c r="C41" s="50">
        <f>ROUND(0.02*(1/12),5)</f>
        <v>1.67E-3</v>
      </c>
      <c r="D41" s="42">
        <f>ROUND($D$13*C41,2)</f>
        <v>2.36</v>
      </c>
    </row>
    <row r="42" spans="1:4" ht="25" customHeight="1" x14ac:dyDescent="0.35">
      <c r="A42" s="210" t="s">
        <v>33</v>
      </c>
      <c r="B42" s="211"/>
      <c r="C42" s="15">
        <f>ROUND(40%*8%,5)</f>
        <v>3.2000000000000001E-2</v>
      </c>
      <c r="D42" s="54">
        <f>ROUND($D$13*C42,2)</f>
        <v>45.31</v>
      </c>
    </row>
    <row r="43" spans="1:4" x14ac:dyDescent="0.35">
      <c r="A43" s="198" t="s">
        <v>34</v>
      </c>
      <c r="B43" s="199"/>
      <c r="C43" s="30">
        <f>ROUND(SUM(C40:C42),5)</f>
        <v>3.7839999999999999E-2</v>
      </c>
      <c r="D43" s="29">
        <f>ROUND(SUM(D40:D42),2)</f>
        <v>53.57</v>
      </c>
    </row>
    <row r="44" spans="1:4" x14ac:dyDescent="0.35">
      <c r="A44" s="20"/>
      <c r="B44" s="20"/>
      <c r="C44" s="8"/>
      <c r="D44" s="7"/>
    </row>
    <row r="45" spans="1:4" x14ac:dyDescent="0.35">
      <c r="A45" s="207" t="s">
        <v>35</v>
      </c>
      <c r="B45" s="208"/>
      <c r="C45" s="90" t="s">
        <v>6</v>
      </c>
      <c r="D45" s="90" t="s">
        <v>7</v>
      </c>
    </row>
    <row r="46" spans="1:4" ht="29" customHeight="1" x14ac:dyDescent="0.35">
      <c r="A46" s="176" t="s">
        <v>36</v>
      </c>
      <c r="B46" s="178"/>
      <c r="C46" s="14">
        <f>ROUND(C25*C37,5)</f>
        <v>9.3460000000000001E-2</v>
      </c>
      <c r="D46" s="5">
        <f>ROUND($D$13*C46,2)</f>
        <v>132.32</v>
      </c>
    </row>
    <row r="47" spans="1:4" x14ac:dyDescent="0.35">
      <c r="A47" s="198" t="s">
        <v>37</v>
      </c>
      <c r="B47" s="199"/>
      <c r="C47" s="30">
        <f>ROUND(SUM(C46),5)</f>
        <v>9.3460000000000001E-2</v>
      </c>
      <c r="D47" s="29">
        <f>ROUND(SUM(D46),2)</f>
        <v>132.32</v>
      </c>
    </row>
    <row r="48" spans="1:4" x14ac:dyDescent="0.35">
      <c r="A48" s="20"/>
      <c r="B48" s="20"/>
      <c r="C48" s="8"/>
      <c r="D48" s="7"/>
    </row>
    <row r="49" spans="1:4" x14ac:dyDescent="0.35">
      <c r="A49" s="207" t="s">
        <v>38</v>
      </c>
      <c r="B49" s="208"/>
      <c r="C49" s="90" t="s">
        <v>6</v>
      </c>
      <c r="D49" s="90" t="s">
        <v>7</v>
      </c>
    </row>
    <row r="50" spans="1:4" ht="65.5" customHeight="1" x14ac:dyDescent="0.35">
      <c r="A50" s="176" t="s">
        <v>39</v>
      </c>
      <c r="B50" s="178"/>
      <c r="C50" s="15">
        <f>ROUND(8%*C40,5)</f>
        <v>3.3E-4</v>
      </c>
      <c r="D50" s="5">
        <f>ROUND($D$13*C50,2)</f>
        <v>0.47</v>
      </c>
    </row>
    <row r="51" spans="1:4" x14ac:dyDescent="0.35">
      <c r="A51" s="198" t="s">
        <v>40</v>
      </c>
      <c r="B51" s="199"/>
      <c r="C51" s="30">
        <f>ROUND(SUM(C50:C50),5)</f>
        <v>3.3E-4</v>
      </c>
      <c r="D51" s="29">
        <f>ROUND(SUM(D50:D50),2)</f>
        <v>0.47</v>
      </c>
    </row>
    <row r="52" spans="1:4" x14ac:dyDescent="0.35">
      <c r="A52" s="20"/>
      <c r="B52" s="20"/>
      <c r="C52" s="8"/>
      <c r="D52" s="7"/>
    </row>
    <row r="53" spans="1:4" x14ac:dyDescent="0.35">
      <c r="A53" s="207" t="s">
        <v>41</v>
      </c>
      <c r="B53" s="208"/>
      <c r="C53" s="90" t="s">
        <v>6</v>
      </c>
      <c r="D53" s="90" t="s">
        <v>7</v>
      </c>
    </row>
    <row r="54" spans="1:4" ht="114.5" customHeight="1" x14ac:dyDescent="0.35">
      <c r="A54" s="176" t="s">
        <v>42</v>
      </c>
      <c r="B54" s="178"/>
      <c r="C54" s="14">
        <f>ROUND(C25*(13/12)*(4/12)*2/100,5)</f>
        <v>2.8700000000000002E-3</v>
      </c>
      <c r="D54" s="5">
        <f>ROUND($D$13*C54,2)</f>
        <v>4.0599999999999996</v>
      </c>
    </row>
    <row r="55" spans="1:4" x14ac:dyDescent="0.35">
      <c r="A55" s="198" t="s">
        <v>43</v>
      </c>
      <c r="B55" s="199"/>
      <c r="C55" s="30">
        <f>ROUND(SUM(C54),5)</f>
        <v>2.8700000000000002E-3</v>
      </c>
      <c r="D55" s="29">
        <f>ROUND(SUM(D54),2)</f>
        <v>4.0599999999999996</v>
      </c>
    </row>
    <row r="56" spans="1:4" x14ac:dyDescent="0.35">
      <c r="A56" s="198" t="s">
        <v>44</v>
      </c>
      <c r="B56" s="199"/>
      <c r="C56" s="30">
        <f>ROUND(C25+C37+C43+C47+C51+C55,5)</f>
        <v>0.76732999999999996</v>
      </c>
      <c r="D56" s="29">
        <f>ROUND(D25+D37+D43+D47+D51+D55,2)</f>
        <v>1086.4100000000001</v>
      </c>
    </row>
    <row r="57" spans="1:4" ht="15" customHeight="1" x14ac:dyDescent="0.35">
      <c r="A57" s="20"/>
      <c r="B57" s="20"/>
      <c r="C57" s="8"/>
      <c r="D57" s="7"/>
    </row>
    <row r="58" spans="1:4" ht="15" customHeight="1" x14ac:dyDescent="0.35">
      <c r="A58" s="198" t="s">
        <v>45</v>
      </c>
      <c r="B58" s="200"/>
      <c r="C58" s="199"/>
      <c r="D58" s="29">
        <f>D13+D56</f>
        <v>2502.2399999999998</v>
      </c>
    </row>
    <row r="59" spans="1:4" ht="15" customHeight="1" x14ac:dyDescent="0.35">
      <c r="A59" s="3"/>
      <c r="B59" s="3"/>
      <c r="C59" s="3"/>
      <c r="D59" s="3"/>
    </row>
    <row r="60" spans="1:4" ht="15" customHeight="1" x14ac:dyDescent="0.35">
      <c r="A60" s="202" t="s">
        <v>72</v>
      </c>
      <c r="B60" s="202"/>
      <c r="C60" s="202"/>
      <c r="D60" s="202"/>
    </row>
    <row r="61" spans="1:4" x14ac:dyDescent="0.35">
      <c r="A61" s="202" t="s">
        <v>46</v>
      </c>
      <c r="B61" s="202"/>
      <c r="C61" s="90" t="s">
        <v>218</v>
      </c>
      <c r="D61" s="92" t="s">
        <v>7</v>
      </c>
    </row>
    <row r="62" spans="1:4" ht="99.5" customHeight="1" x14ac:dyDescent="0.35">
      <c r="A62" s="206" t="s">
        <v>91</v>
      </c>
      <c r="B62" s="206"/>
      <c r="C62" s="33">
        <v>15</v>
      </c>
      <c r="D62" s="33">
        <f>ROUND(C62*4,2)</f>
        <v>60</v>
      </c>
    </row>
    <row r="63" spans="1:4" ht="53.5" customHeight="1" x14ac:dyDescent="0.35">
      <c r="A63" s="209" t="s">
        <v>92</v>
      </c>
      <c r="B63" s="209"/>
      <c r="C63" s="101">
        <v>0.1</v>
      </c>
      <c r="D63" s="49">
        <f>ROUND(D62*C63,2)*-1</f>
        <v>-6</v>
      </c>
    </row>
    <row r="64" spans="1:4" ht="102.5" customHeight="1" x14ac:dyDescent="0.35">
      <c r="A64" s="206" t="s">
        <v>93</v>
      </c>
      <c r="B64" s="206"/>
      <c r="C64" s="104">
        <v>3.8</v>
      </c>
      <c r="D64" s="33">
        <f>ROUND(C64*2*4,2)</f>
        <v>30.4</v>
      </c>
    </row>
    <row r="65" spans="1:4" ht="15" customHeight="1" x14ac:dyDescent="0.35">
      <c r="A65" s="217" t="s">
        <v>48</v>
      </c>
      <c r="B65" s="217"/>
      <c r="C65" s="217"/>
      <c r="D65" s="29">
        <f>ROUND(SUM(D62:D64),2)</f>
        <v>84.4</v>
      </c>
    </row>
    <row r="66" spans="1:4" x14ac:dyDescent="0.35">
      <c r="A66" s="20"/>
      <c r="B66" s="20"/>
      <c r="C66" s="20"/>
      <c r="D66" s="7"/>
    </row>
    <row r="67" spans="1:4" ht="30" customHeight="1" x14ac:dyDescent="0.35">
      <c r="A67" s="198" t="s">
        <v>49</v>
      </c>
      <c r="B67" s="200"/>
      <c r="C67" s="199"/>
      <c r="D67" s="29">
        <f>ROUND(D58+D65,2)</f>
        <v>2586.64</v>
      </c>
    </row>
    <row r="68" spans="1:4" x14ac:dyDescent="0.35">
      <c r="A68" s="20"/>
      <c r="B68" s="20"/>
      <c r="C68" s="20"/>
      <c r="D68" s="7"/>
    </row>
    <row r="69" spans="1:4" x14ac:dyDescent="0.35">
      <c r="A69" s="202" t="s">
        <v>88</v>
      </c>
      <c r="B69" s="202"/>
      <c r="C69" s="202"/>
      <c r="D69" s="202"/>
    </row>
    <row r="70" spans="1:4" x14ac:dyDescent="0.35">
      <c r="A70" s="207" t="s">
        <v>50</v>
      </c>
      <c r="B70" s="208"/>
      <c r="C70" s="90" t="s">
        <v>6</v>
      </c>
      <c r="D70" s="90" t="s">
        <v>7</v>
      </c>
    </row>
    <row r="71" spans="1:4" s="1" customFormat="1" ht="30" customHeight="1" x14ac:dyDescent="0.3">
      <c r="A71" s="176" t="s">
        <v>51</v>
      </c>
      <c r="B71" s="178"/>
      <c r="C71" s="13">
        <v>0</v>
      </c>
      <c r="D71" s="18">
        <f>ROUND(D67*C71,2)</f>
        <v>0</v>
      </c>
    </row>
    <row r="72" spans="1:4" s="1" customFormat="1" ht="30" customHeight="1" x14ac:dyDescent="0.3">
      <c r="A72" s="196" t="s">
        <v>9</v>
      </c>
      <c r="B72" s="197"/>
      <c r="C72" s="41">
        <v>0</v>
      </c>
      <c r="D72" s="44">
        <f>ROUND(D67*C72,2)</f>
        <v>0</v>
      </c>
    </row>
    <row r="73" spans="1:4" x14ac:dyDescent="0.35">
      <c r="A73" s="198" t="s">
        <v>52</v>
      </c>
      <c r="B73" s="199"/>
      <c r="C73" s="31">
        <f>ROUND(SUM(C71:C72),5)</f>
        <v>0</v>
      </c>
      <c r="D73" s="29">
        <f>SUM(D71:D72)</f>
        <v>0</v>
      </c>
    </row>
    <row r="74" spans="1:4" x14ac:dyDescent="0.35">
      <c r="A74" s="20"/>
      <c r="B74" s="20"/>
      <c r="C74" s="6"/>
      <c r="D74" s="7"/>
    </row>
    <row r="75" spans="1:4" ht="30" customHeight="1" x14ac:dyDescent="0.35">
      <c r="A75" s="198" t="s">
        <v>73</v>
      </c>
      <c r="B75" s="200"/>
      <c r="C75" s="199"/>
      <c r="D75" s="29">
        <f>ROUND(D67+D73,2)</f>
        <v>2586.64</v>
      </c>
    </row>
    <row r="76" spans="1:4" x14ac:dyDescent="0.35">
      <c r="A76" s="20"/>
      <c r="B76" s="20"/>
      <c r="C76" s="20"/>
      <c r="D76" s="7"/>
    </row>
    <row r="77" spans="1:4" ht="35.25" customHeight="1" x14ac:dyDescent="0.35">
      <c r="A77" s="235" t="s">
        <v>63</v>
      </c>
      <c r="B77" s="235"/>
      <c r="C77" s="30">
        <f>ROUND(1-(SUM(C80:C82)/1),5)</f>
        <v>0.91349999999999998</v>
      </c>
      <c r="D77" s="29">
        <f>ROUND(D75/C77,2)</f>
        <v>2831.57</v>
      </c>
    </row>
    <row r="78" spans="1:4" x14ac:dyDescent="0.35">
      <c r="A78" s="3"/>
      <c r="B78" s="3"/>
      <c r="C78" s="3"/>
      <c r="D78" s="3"/>
    </row>
    <row r="79" spans="1:4" x14ac:dyDescent="0.35">
      <c r="A79" s="207" t="s">
        <v>53</v>
      </c>
      <c r="B79" s="208"/>
      <c r="C79" s="90" t="s">
        <v>6</v>
      </c>
      <c r="D79" s="90" t="s">
        <v>7</v>
      </c>
    </row>
    <row r="80" spans="1:4" ht="22" customHeight="1" x14ac:dyDescent="0.35">
      <c r="A80" s="176" t="s">
        <v>54</v>
      </c>
      <c r="B80" s="178"/>
      <c r="C80" s="13">
        <v>0.05</v>
      </c>
      <c r="D80" s="5">
        <f>ROUND($D$77*C80,2)</f>
        <v>141.58000000000001</v>
      </c>
    </row>
    <row r="81" spans="1:4" ht="22" customHeight="1" x14ac:dyDescent="0.35">
      <c r="A81" s="196" t="s">
        <v>55</v>
      </c>
      <c r="B81" s="197"/>
      <c r="C81" s="41">
        <v>0.03</v>
      </c>
      <c r="D81" s="42">
        <f>ROUND($D$77*C81,2)</f>
        <v>84.95</v>
      </c>
    </row>
    <row r="82" spans="1:4" ht="22" customHeight="1" x14ac:dyDescent="0.35">
      <c r="A82" s="176" t="s">
        <v>56</v>
      </c>
      <c r="B82" s="178"/>
      <c r="C82" s="13">
        <v>6.4999999999999997E-3</v>
      </c>
      <c r="D82" s="5">
        <f>ROUND($D$77*C82,2)</f>
        <v>18.41</v>
      </c>
    </row>
    <row r="83" spans="1:4" x14ac:dyDescent="0.35">
      <c r="A83" s="198" t="s">
        <v>57</v>
      </c>
      <c r="B83" s="199"/>
      <c r="C83" s="30">
        <f>ROUND(SUM(C80:C82),5)</f>
        <v>8.6499999999999994E-2</v>
      </c>
      <c r="D83" s="29">
        <f>ROUND(SUM(D80:D82),2)</f>
        <v>244.94</v>
      </c>
    </row>
    <row r="84" spans="1:4" ht="10" customHeight="1" x14ac:dyDescent="0.35">
      <c r="A84" s="3"/>
      <c r="B84" s="3"/>
      <c r="C84" s="3"/>
      <c r="D84" s="3"/>
    </row>
    <row r="85" spans="1:4" ht="25" customHeight="1" x14ac:dyDescent="0.35">
      <c r="A85" s="198" t="s">
        <v>58</v>
      </c>
      <c r="B85" s="200"/>
      <c r="C85" s="199"/>
      <c r="D85" s="29">
        <f>ROUND(D75+D83,2)</f>
        <v>2831.58</v>
      </c>
    </row>
    <row r="86" spans="1:4" ht="25" customHeight="1" x14ac:dyDescent="0.35">
      <c r="A86" s="198" t="s">
        <v>64</v>
      </c>
      <c r="B86" s="200"/>
      <c r="C86" s="199"/>
      <c r="D86" s="29">
        <f>ROUND(D85*12,2)</f>
        <v>33978.959999999999</v>
      </c>
    </row>
    <row r="87" spans="1:4" ht="10" customHeight="1" x14ac:dyDescent="0.35">
      <c r="A87" s="20"/>
      <c r="B87" s="20"/>
      <c r="C87" s="20"/>
      <c r="D87" s="7"/>
    </row>
    <row r="88" spans="1:4" ht="15" customHeight="1" x14ac:dyDescent="0.35">
      <c r="A88" s="202" t="s">
        <v>285</v>
      </c>
      <c r="B88" s="202"/>
      <c r="C88" s="202"/>
      <c r="D88" s="202"/>
    </row>
    <row r="89" spans="1:4" ht="15" customHeight="1" x14ac:dyDescent="0.35">
      <c r="A89" s="252" t="s">
        <v>85</v>
      </c>
      <c r="B89" s="253"/>
      <c r="C89" s="254"/>
      <c r="D89" s="95">
        <f>ROUND(D85/220,2)</f>
        <v>12.87</v>
      </c>
    </row>
    <row r="90" spans="1:4" ht="15" customHeight="1" x14ac:dyDescent="0.35">
      <c r="A90" s="252" t="s">
        <v>86</v>
      </c>
      <c r="B90" s="253"/>
      <c r="C90" s="254"/>
      <c r="D90" s="19">
        <f>ROUND((D89*50%)+D89,2)</f>
        <v>19.309999999999999</v>
      </c>
    </row>
    <row r="91" spans="1:4" ht="15" customHeight="1" x14ac:dyDescent="0.35">
      <c r="A91" s="252" t="s">
        <v>87</v>
      </c>
      <c r="B91" s="253"/>
      <c r="C91" s="254"/>
      <c r="D91" s="19">
        <f>ROUND((D89*100%)+D89,2)</f>
        <v>25.74</v>
      </c>
    </row>
    <row r="92" spans="1:4" ht="10" customHeight="1" x14ac:dyDescent="0.35">
      <c r="A92" s="20"/>
      <c r="B92" s="20"/>
      <c r="C92" s="20"/>
      <c r="D92" s="7"/>
    </row>
    <row r="93" spans="1:4" ht="15" customHeight="1" x14ac:dyDescent="0.35">
      <c r="A93" s="202" t="s">
        <v>59</v>
      </c>
      <c r="B93" s="202"/>
      <c r="C93" s="202"/>
      <c r="D93" s="27" t="s">
        <v>6</v>
      </c>
    </row>
    <row r="94" spans="1:4" ht="15" customHeight="1" x14ac:dyDescent="0.35">
      <c r="A94" s="201" t="s">
        <v>74</v>
      </c>
      <c r="B94" s="201"/>
      <c r="C94" s="201"/>
      <c r="D94" s="17">
        <f>C25</f>
        <v>0.39800000000000002</v>
      </c>
    </row>
    <row r="95" spans="1:4" ht="15" customHeight="1" x14ac:dyDescent="0.35">
      <c r="A95" s="203" t="s">
        <v>29</v>
      </c>
      <c r="B95" s="203"/>
      <c r="C95" s="203"/>
      <c r="D95" s="43">
        <f>C37</f>
        <v>0.23483000000000001</v>
      </c>
    </row>
    <row r="96" spans="1:4" ht="15" customHeight="1" x14ac:dyDescent="0.35">
      <c r="A96" s="201" t="s">
        <v>34</v>
      </c>
      <c r="B96" s="201"/>
      <c r="C96" s="201"/>
      <c r="D96" s="17">
        <f>C43</f>
        <v>3.7839999999999999E-2</v>
      </c>
    </row>
    <row r="97" spans="1:4" ht="15" customHeight="1" x14ac:dyDescent="0.35">
      <c r="A97" s="203" t="s">
        <v>37</v>
      </c>
      <c r="B97" s="203"/>
      <c r="C97" s="203"/>
      <c r="D97" s="43">
        <f>C47</f>
        <v>9.3460000000000001E-2</v>
      </c>
    </row>
    <row r="98" spans="1:4" ht="15" customHeight="1" x14ac:dyDescent="0.35">
      <c r="A98" s="201" t="s">
        <v>40</v>
      </c>
      <c r="B98" s="201"/>
      <c r="C98" s="201"/>
      <c r="D98" s="17">
        <f>C51</f>
        <v>3.3E-4</v>
      </c>
    </row>
    <row r="99" spans="1:4" ht="15" customHeight="1" x14ac:dyDescent="0.35">
      <c r="A99" s="203" t="s">
        <v>43</v>
      </c>
      <c r="B99" s="203"/>
      <c r="C99" s="203"/>
      <c r="D99" s="43">
        <f>C55</f>
        <v>2.8700000000000002E-3</v>
      </c>
    </row>
    <row r="100" spans="1:4" ht="15" customHeight="1" x14ac:dyDescent="0.35">
      <c r="A100" s="236" t="s">
        <v>75</v>
      </c>
      <c r="B100" s="236"/>
      <c r="C100" s="236"/>
      <c r="D100" s="28">
        <f>ROUND(SUM(D94:D99),5)</f>
        <v>0.76732999999999996</v>
      </c>
    </row>
    <row r="101" spans="1:4" ht="10" customHeight="1" x14ac:dyDescent="0.35"/>
    <row r="102" spans="1:4" x14ac:dyDescent="0.35">
      <c r="A102" s="207" t="s">
        <v>268</v>
      </c>
      <c r="B102" s="208"/>
      <c r="C102" s="90" t="s">
        <v>269</v>
      </c>
      <c r="D102" s="27" t="s">
        <v>6</v>
      </c>
    </row>
    <row r="103" spans="1:4" x14ac:dyDescent="0.35">
      <c r="A103" s="212" t="s">
        <v>270</v>
      </c>
      <c r="B103" s="213"/>
      <c r="C103" s="110">
        <f>D13</f>
        <v>1415.83</v>
      </c>
      <c r="D103" s="17">
        <f>ROUND(C103/$C$107,5)</f>
        <v>0.50000999999999995</v>
      </c>
    </row>
    <row r="104" spans="1:4" ht="24.5" customHeight="1" x14ac:dyDescent="0.35">
      <c r="A104" s="229" t="s">
        <v>271</v>
      </c>
      <c r="B104" s="230"/>
      <c r="C104" s="111">
        <f>D56</f>
        <v>1086.4100000000001</v>
      </c>
      <c r="D104" s="43">
        <f>ROUND(C104/$C$107,5)</f>
        <v>0.38368000000000002</v>
      </c>
    </row>
    <row r="105" spans="1:4" x14ac:dyDescent="0.35">
      <c r="A105" s="212" t="s">
        <v>272</v>
      </c>
      <c r="B105" s="213"/>
      <c r="C105" s="110">
        <f>D65</f>
        <v>84.4</v>
      </c>
      <c r="D105" s="17">
        <f>ROUND(C105/$C$107,5)</f>
        <v>2.981E-2</v>
      </c>
    </row>
    <row r="106" spans="1:4" x14ac:dyDescent="0.35">
      <c r="A106" s="229" t="s">
        <v>273</v>
      </c>
      <c r="B106" s="230"/>
      <c r="C106" s="111">
        <f>ROUND(D73+D83,2)</f>
        <v>244.94</v>
      </c>
      <c r="D106" s="43">
        <f>ROUND(C106/$C$107,5)</f>
        <v>8.6499999999999994E-2</v>
      </c>
    </row>
    <row r="107" spans="1:4" x14ac:dyDescent="0.35">
      <c r="A107" s="231" t="s">
        <v>274</v>
      </c>
      <c r="B107" s="232"/>
      <c r="C107" s="112">
        <f>ROUND(SUM(C103:C106),2)</f>
        <v>2831.58</v>
      </c>
      <c r="D107" s="30">
        <f>ROUND(SUM(D103:D106),5)</f>
        <v>1</v>
      </c>
    </row>
  </sheetData>
  <mergeCells count="89">
    <mergeCell ref="A102:B102"/>
    <mergeCell ref="A96:C96"/>
    <mergeCell ref="A97:C97"/>
    <mergeCell ref="A98:C98"/>
    <mergeCell ref="A99:C99"/>
    <mergeCell ref="A100:C100"/>
    <mergeCell ref="A103:B103"/>
    <mergeCell ref="A104:B104"/>
    <mergeCell ref="A105:B105"/>
    <mergeCell ref="A106:B106"/>
    <mergeCell ref="A107:B107"/>
    <mergeCell ref="A95:C95"/>
    <mergeCell ref="A73:B73"/>
    <mergeCell ref="A75:C75"/>
    <mergeCell ref="A77:B77"/>
    <mergeCell ref="A79:B79"/>
    <mergeCell ref="A88:D88"/>
    <mergeCell ref="A89:C89"/>
    <mergeCell ref="A90:C90"/>
    <mergeCell ref="A91:C91"/>
    <mergeCell ref="A83:B83"/>
    <mergeCell ref="A85:C85"/>
    <mergeCell ref="A86:C86"/>
    <mergeCell ref="A93:C93"/>
    <mergeCell ref="A94:C94"/>
    <mergeCell ref="A80:B80"/>
    <mergeCell ref="A81:B81"/>
    <mergeCell ref="A82:B82"/>
    <mergeCell ref="A67:C67"/>
    <mergeCell ref="A69:D69"/>
    <mergeCell ref="A70:B70"/>
    <mergeCell ref="A71:B71"/>
    <mergeCell ref="A72:B72"/>
    <mergeCell ref="A58:C58"/>
    <mergeCell ref="A46:B46"/>
    <mergeCell ref="A47:B47"/>
    <mergeCell ref="A49:B49"/>
    <mergeCell ref="A65:C65"/>
    <mergeCell ref="A60:D60"/>
    <mergeCell ref="A61:B61"/>
    <mergeCell ref="A62:B62"/>
    <mergeCell ref="A63:B63"/>
    <mergeCell ref="A64:B64"/>
    <mergeCell ref="A51:B51"/>
    <mergeCell ref="A53:B53"/>
    <mergeCell ref="A54:B54"/>
    <mergeCell ref="A55:B55"/>
    <mergeCell ref="A56:B56"/>
    <mergeCell ref="A31:B31"/>
    <mergeCell ref="A32:B32"/>
    <mergeCell ref="A33:B33"/>
    <mergeCell ref="A50:B50"/>
    <mergeCell ref="A40:B40"/>
    <mergeCell ref="A41:B41"/>
    <mergeCell ref="A42:B42"/>
    <mergeCell ref="A43:B43"/>
    <mergeCell ref="A45:B45"/>
    <mergeCell ref="A34:B34"/>
    <mergeCell ref="A35:B35"/>
    <mergeCell ref="A36:B36"/>
    <mergeCell ref="A37:B37"/>
    <mergeCell ref="A39:B39"/>
    <mergeCell ref="A25:B25"/>
    <mergeCell ref="A27:B27"/>
    <mergeCell ref="A28:B28"/>
    <mergeCell ref="A29:B29"/>
    <mergeCell ref="A30:B30"/>
    <mergeCell ref="A23:B23"/>
    <mergeCell ref="A24:B24"/>
    <mergeCell ref="A13:C13"/>
    <mergeCell ref="A15:D15"/>
    <mergeCell ref="A16:B16"/>
    <mergeCell ref="A17:B17"/>
    <mergeCell ref="A18:B18"/>
    <mergeCell ref="B6:D6"/>
    <mergeCell ref="A19:B19"/>
    <mergeCell ref="A20:B20"/>
    <mergeCell ref="A21:B21"/>
    <mergeCell ref="A22:B22"/>
    <mergeCell ref="A8:D8"/>
    <mergeCell ref="A9:D9"/>
    <mergeCell ref="A10:B10"/>
    <mergeCell ref="A11:B11"/>
    <mergeCell ref="A12:B12"/>
    <mergeCell ref="A1:D1"/>
    <mergeCell ref="B2:D2"/>
    <mergeCell ref="B3:D3"/>
    <mergeCell ref="B4:D4"/>
    <mergeCell ref="B5:D5"/>
  </mergeCells>
  <pageMargins left="0.23622047244094491" right="0.23622047244094491" top="1.3385826771653544" bottom="0.74803149606299213" header="0.9055118110236221" footer="0.31496062992125984"/>
  <pageSetup fitToHeight="0" orientation="landscape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5933B-6EB2-4293-B0E3-8C70510E21E1}">
  <sheetPr codeName="Planilha27">
    <pageSetUpPr fitToPage="1"/>
  </sheetPr>
  <dimension ref="A1:D106"/>
  <sheetViews>
    <sheetView view="pageBreakPreview" zoomScaleNormal="100" zoomScaleSheetLayoutView="100" workbookViewId="0">
      <selection activeCell="G5" sqref="G5"/>
    </sheetView>
  </sheetViews>
  <sheetFormatPr defaultRowHeight="14.5" x14ac:dyDescent="0.35"/>
  <cols>
    <col min="1" max="1" width="33.453125" customWidth="1"/>
    <col min="2" max="2" width="14.54296875" customWidth="1"/>
    <col min="3" max="3" width="10.81640625" customWidth="1"/>
    <col min="4" max="4" width="12.26953125" customWidth="1"/>
  </cols>
  <sheetData>
    <row r="1" spans="1:4" ht="26" customHeight="1" x14ac:dyDescent="0.35">
      <c r="A1" s="218" t="s">
        <v>284</v>
      </c>
      <c r="B1" s="218"/>
      <c r="C1" s="218"/>
      <c r="D1" s="218"/>
    </row>
    <row r="2" spans="1:4" ht="30.5" customHeight="1" x14ac:dyDescent="0.35">
      <c r="A2" s="23" t="s">
        <v>2</v>
      </c>
      <c r="B2" s="214" t="str">
        <f>'Quantidade de Cargo'!A14</f>
        <v>Motorista</v>
      </c>
      <c r="C2" s="215"/>
      <c r="D2" s="216"/>
    </row>
    <row r="3" spans="1:4" ht="15" customHeight="1" x14ac:dyDescent="0.35">
      <c r="A3" s="23" t="s">
        <v>61</v>
      </c>
      <c r="B3" s="219" t="str">
        <f>'Salario Base'!B17</f>
        <v>7823-05</v>
      </c>
      <c r="C3" s="220"/>
      <c r="D3" s="221"/>
    </row>
    <row r="4" spans="1:4" ht="15" customHeight="1" x14ac:dyDescent="0.35">
      <c r="A4" s="24" t="s">
        <v>1</v>
      </c>
      <c r="B4" s="214" t="s">
        <v>143</v>
      </c>
      <c r="C4" s="215"/>
      <c r="D4" s="216"/>
    </row>
    <row r="5" spans="1:4" ht="26" x14ac:dyDescent="0.35">
      <c r="A5" s="24" t="s">
        <v>3</v>
      </c>
      <c r="B5" s="222">
        <v>1</v>
      </c>
      <c r="C5" s="220"/>
      <c r="D5" s="221"/>
    </row>
    <row r="6" spans="1:4" ht="65.5" customHeight="1" x14ac:dyDescent="0.35">
      <c r="A6" s="24" t="s">
        <v>62</v>
      </c>
      <c r="B6" s="214" t="s">
        <v>276</v>
      </c>
      <c r="C6" s="215"/>
      <c r="D6" s="216"/>
    </row>
    <row r="7" spans="1:4" ht="15" customHeight="1" x14ac:dyDescent="0.35">
      <c r="A7" s="2"/>
      <c r="B7" s="16"/>
      <c r="C7" s="3"/>
      <c r="D7" s="3"/>
    </row>
    <row r="8" spans="1:4" x14ac:dyDescent="0.35">
      <c r="A8" s="223" t="s">
        <v>4</v>
      </c>
      <c r="B8" s="223"/>
      <c r="C8" s="223"/>
      <c r="D8" s="223"/>
    </row>
    <row r="9" spans="1:4" x14ac:dyDescent="0.35">
      <c r="A9" s="224" t="s">
        <v>70</v>
      </c>
      <c r="B9" s="225"/>
      <c r="C9" s="225"/>
      <c r="D9" s="226"/>
    </row>
    <row r="10" spans="1:4" x14ac:dyDescent="0.35">
      <c r="A10" s="227" t="s">
        <v>5</v>
      </c>
      <c r="B10" s="228"/>
      <c r="C10" s="90" t="s">
        <v>6</v>
      </c>
      <c r="D10" s="90" t="s">
        <v>7</v>
      </c>
    </row>
    <row r="11" spans="1:4" ht="40.5" customHeight="1" x14ac:dyDescent="0.35">
      <c r="A11" s="176" t="s">
        <v>8</v>
      </c>
      <c r="B11" s="178"/>
      <c r="C11" s="91" t="s">
        <v>60</v>
      </c>
      <c r="D11" s="4">
        <f>'Salario Base'!F17</f>
        <v>1669.04</v>
      </c>
    </row>
    <row r="12" spans="1:4" ht="15" customHeight="1" x14ac:dyDescent="0.35">
      <c r="A12" s="229" t="s">
        <v>66</v>
      </c>
      <c r="B12" s="230"/>
      <c r="C12" s="53"/>
      <c r="D12" s="42">
        <f>C12*D11/100</f>
        <v>0</v>
      </c>
    </row>
    <row r="13" spans="1:4" x14ac:dyDescent="0.35">
      <c r="A13" s="217" t="s">
        <v>20</v>
      </c>
      <c r="B13" s="217"/>
      <c r="C13" s="217"/>
      <c r="D13" s="29">
        <f>ROUND(SUM(D11:D12),2)</f>
        <v>1669.04</v>
      </c>
    </row>
    <row r="14" spans="1:4" x14ac:dyDescent="0.35">
      <c r="A14" s="3"/>
      <c r="B14" s="3"/>
      <c r="C14" s="3"/>
      <c r="D14" s="3"/>
    </row>
    <row r="15" spans="1:4" x14ac:dyDescent="0.35">
      <c r="A15" s="202" t="s">
        <v>71</v>
      </c>
      <c r="B15" s="202"/>
      <c r="C15" s="202"/>
      <c r="D15" s="202"/>
    </row>
    <row r="16" spans="1:4" x14ac:dyDescent="0.35">
      <c r="A16" s="202" t="s">
        <v>10</v>
      </c>
      <c r="B16" s="202"/>
      <c r="C16" s="90" t="s">
        <v>6</v>
      </c>
      <c r="D16" s="90" t="s">
        <v>7</v>
      </c>
    </row>
    <row r="17" spans="1:4" x14ac:dyDescent="0.35">
      <c r="A17" s="176" t="s">
        <v>11</v>
      </c>
      <c r="B17" s="178"/>
      <c r="C17" s="11">
        <v>0.2</v>
      </c>
      <c r="D17" s="5">
        <f>ROUND($D$13*C17,2)</f>
        <v>333.81</v>
      </c>
    </row>
    <row r="18" spans="1:4" x14ac:dyDescent="0.35">
      <c r="A18" s="196" t="s">
        <v>12</v>
      </c>
      <c r="B18" s="197"/>
      <c r="C18" s="52">
        <v>0.08</v>
      </c>
      <c r="D18" s="42">
        <f t="shared" ref="D18:D24" si="0">ROUND($D$13*C18,2)</f>
        <v>133.52000000000001</v>
      </c>
    </row>
    <row r="19" spans="1:4" x14ac:dyDescent="0.35">
      <c r="A19" s="176" t="s">
        <v>13</v>
      </c>
      <c r="B19" s="178"/>
      <c r="C19" s="11">
        <v>1.4999999999999999E-2</v>
      </c>
      <c r="D19" s="5">
        <f t="shared" si="0"/>
        <v>25.04</v>
      </c>
    </row>
    <row r="20" spans="1:4" ht="25.5" customHeight="1" x14ac:dyDescent="0.35">
      <c r="A20" s="196" t="s">
        <v>14</v>
      </c>
      <c r="B20" s="197"/>
      <c r="C20" s="52">
        <v>0.01</v>
      </c>
      <c r="D20" s="42">
        <f t="shared" si="0"/>
        <v>16.690000000000001</v>
      </c>
    </row>
    <row r="21" spans="1:4" ht="28.5" customHeight="1" x14ac:dyDescent="0.35">
      <c r="A21" s="176" t="s">
        <v>15</v>
      </c>
      <c r="B21" s="178"/>
      <c r="C21" s="11">
        <v>2E-3</v>
      </c>
      <c r="D21" s="5">
        <f t="shared" si="0"/>
        <v>3.34</v>
      </c>
    </row>
    <row r="22" spans="1:4" x14ac:dyDescent="0.35">
      <c r="A22" s="196" t="s">
        <v>16</v>
      </c>
      <c r="B22" s="197"/>
      <c r="C22" s="52">
        <v>6.0000000000000001E-3</v>
      </c>
      <c r="D22" s="42">
        <f t="shared" si="0"/>
        <v>10.01</v>
      </c>
    </row>
    <row r="23" spans="1:4" x14ac:dyDescent="0.35">
      <c r="A23" s="212" t="s">
        <v>17</v>
      </c>
      <c r="B23" s="213"/>
      <c r="C23" s="11">
        <v>2.5000000000000001E-2</v>
      </c>
      <c r="D23" s="5">
        <f t="shared" si="0"/>
        <v>41.73</v>
      </c>
    </row>
    <row r="24" spans="1:4" ht="39.75" customHeight="1" x14ac:dyDescent="0.35">
      <c r="A24" s="229" t="s">
        <v>18</v>
      </c>
      <c r="B24" s="230"/>
      <c r="C24" s="50">
        <v>0.06</v>
      </c>
      <c r="D24" s="42">
        <f t="shared" si="0"/>
        <v>100.14</v>
      </c>
    </row>
    <row r="25" spans="1:4" x14ac:dyDescent="0.35">
      <c r="A25" s="198" t="s">
        <v>19</v>
      </c>
      <c r="B25" s="199"/>
      <c r="C25" s="30">
        <f>ROUND(SUM(C17:C24),5)</f>
        <v>0.39800000000000002</v>
      </c>
      <c r="D25" s="29">
        <f>ROUND(SUM(D17:D24),2)</f>
        <v>664.28</v>
      </c>
    </row>
    <row r="26" spans="1:4" x14ac:dyDescent="0.35">
      <c r="A26" s="20"/>
      <c r="B26" s="20"/>
      <c r="C26" s="6"/>
      <c r="D26" s="7"/>
    </row>
    <row r="27" spans="1:4" x14ac:dyDescent="0.35">
      <c r="A27" s="202" t="s">
        <v>21</v>
      </c>
      <c r="B27" s="202"/>
      <c r="C27" s="90" t="s">
        <v>6</v>
      </c>
      <c r="D27" s="90" t="s">
        <v>7</v>
      </c>
    </row>
    <row r="28" spans="1:4" ht="25" customHeight="1" x14ac:dyDescent="0.35">
      <c r="A28" s="212" t="s">
        <v>22</v>
      </c>
      <c r="B28" s="213"/>
      <c r="C28" s="9">
        <f>ROUND(1/12,5)</f>
        <v>8.3330000000000001E-2</v>
      </c>
      <c r="D28" s="5">
        <f>ROUND($D$13*C28,2)</f>
        <v>139.08000000000001</v>
      </c>
    </row>
    <row r="29" spans="1:4" ht="25" customHeight="1" x14ac:dyDescent="0.35">
      <c r="A29" s="196" t="s">
        <v>263</v>
      </c>
      <c r="B29" s="197"/>
      <c r="C29" s="51">
        <f>ROUND((1/3)/12,5)</f>
        <v>2.7779999999999999E-2</v>
      </c>
      <c r="D29" s="42">
        <f t="shared" ref="D29:D36" si="1">ROUND($D$13*C29,2)</f>
        <v>46.37</v>
      </c>
    </row>
    <row r="30" spans="1:4" ht="25" customHeight="1" x14ac:dyDescent="0.35">
      <c r="A30" s="176" t="s">
        <v>23</v>
      </c>
      <c r="B30" s="178"/>
      <c r="C30" s="10">
        <f>ROUND((((100% / 30) * 7) / 12),5)</f>
        <v>1.9439999999999999E-2</v>
      </c>
      <c r="D30" s="5">
        <f t="shared" si="1"/>
        <v>32.450000000000003</v>
      </c>
    </row>
    <row r="31" spans="1:4" ht="25" customHeight="1" x14ac:dyDescent="0.35">
      <c r="A31" s="196" t="s">
        <v>24</v>
      </c>
      <c r="B31" s="197"/>
      <c r="C31" s="51">
        <f>ROUND((5/30)/12,5)</f>
        <v>1.389E-2</v>
      </c>
      <c r="D31" s="42">
        <f t="shared" si="1"/>
        <v>23.18</v>
      </c>
    </row>
    <row r="32" spans="1:4" ht="25" customHeight="1" x14ac:dyDescent="0.35">
      <c r="A32" s="176" t="s">
        <v>25</v>
      </c>
      <c r="B32" s="178"/>
      <c r="C32" s="10">
        <f>ROUND(((15/30/12)*0.08),5)</f>
        <v>3.3300000000000001E-3</v>
      </c>
      <c r="D32" s="5">
        <f t="shared" si="1"/>
        <v>5.56</v>
      </c>
    </row>
    <row r="33" spans="1:4" ht="25" customHeight="1" x14ac:dyDescent="0.35">
      <c r="A33" s="196" t="s">
        <v>26</v>
      </c>
      <c r="B33" s="197"/>
      <c r="C33" s="51">
        <f>ROUND((1/30)/12,5)</f>
        <v>2.7799999999999999E-3</v>
      </c>
      <c r="D33" s="42">
        <f t="shared" si="1"/>
        <v>4.6399999999999997</v>
      </c>
    </row>
    <row r="34" spans="1:4" ht="25" customHeight="1" x14ac:dyDescent="0.35">
      <c r="A34" s="176" t="s">
        <v>27</v>
      </c>
      <c r="B34" s="178"/>
      <c r="C34" s="10">
        <f>ROUND(0.1111*0.02*0.333,5)</f>
        <v>7.3999999999999999E-4</v>
      </c>
      <c r="D34" s="5">
        <f t="shared" si="1"/>
        <v>1.24</v>
      </c>
    </row>
    <row r="35" spans="1:4" ht="25" customHeight="1" x14ac:dyDescent="0.35">
      <c r="A35" s="196" t="s">
        <v>28</v>
      </c>
      <c r="B35" s="197"/>
      <c r="C35" s="51">
        <f>ROUND(((5/30)/12)*0.015,5)</f>
        <v>2.1000000000000001E-4</v>
      </c>
      <c r="D35" s="42">
        <f t="shared" si="1"/>
        <v>0.35</v>
      </c>
    </row>
    <row r="36" spans="1:4" ht="25" customHeight="1" x14ac:dyDescent="0.35">
      <c r="A36" s="176" t="s">
        <v>264</v>
      </c>
      <c r="B36" s="178"/>
      <c r="C36" s="10">
        <f>ROUND(1/12,5)</f>
        <v>8.3330000000000001E-2</v>
      </c>
      <c r="D36" s="5">
        <f t="shared" si="1"/>
        <v>139.08000000000001</v>
      </c>
    </row>
    <row r="37" spans="1:4" x14ac:dyDescent="0.35">
      <c r="A37" s="198" t="s">
        <v>29</v>
      </c>
      <c r="B37" s="199"/>
      <c r="C37" s="30">
        <f>ROUND(SUM(C28:C36),5)</f>
        <v>0.23483000000000001</v>
      </c>
      <c r="D37" s="29">
        <f>ROUND(SUM(D28:D36),2)</f>
        <v>391.95</v>
      </c>
    </row>
    <row r="38" spans="1:4" x14ac:dyDescent="0.35">
      <c r="A38" s="20"/>
      <c r="B38" s="20"/>
      <c r="C38" s="8"/>
      <c r="D38" s="7"/>
    </row>
    <row r="39" spans="1:4" x14ac:dyDescent="0.35">
      <c r="A39" s="207" t="s">
        <v>30</v>
      </c>
      <c r="B39" s="208"/>
      <c r="C39" s="90" t="s">
        <v>6</v>
      </c>
      <c r="D39" s="90" t="s">
        <v>7</v>
      </c>
    </row>
    <row r="40" spans="1:4" ht="25" customHeight="1" x14ac:dyDescent="0.35">
      <c r="A40" s="210" t="s">
        <v>31</v>
      </c>
      <c r="B40" s="211"/>
      <c r="C40" s="12">
        <f>ROUND(1/12*5%,5)</f>
        <v>4.1700000000000001E-3</v>
      </c>
      <c r="D40" s="54">
        <f>ROUND($D$13*C40,2)</f>
        <v>6.96</v>
      </c>
    </row>
    <row r="41" spans="1:4" ht="25" customHeight="1" x14ac:dyDescent="0.35">
      <c r="A41" s="196" t="s">
        <v>32</v>
      </c>
      <c r="B41" s="197"/>
      <c r="C41" s="50">
        <f>ROUND(0.02*(1/12),5)</f>
        <v>1.67E-3</v>
      </c>
      <c r="D41" s="42">
        <f>ROUND($D$13*C41,2)</f>
        <v>2.79</v>
      </c>
    </row>
    <row r="42" spans="1:4" ht="25" customHeight="1" x14ac:dyDescent="0.35">
      <c r="A42" s="210" t="s">
        <v>33</v>
      </c>
      <c r="B42" s="211"/>
      <c r="C42" s="15">
        <f>ROUND(40%*8%,5)</f>
        <v>3.2000000000000001E-2</v>
      </c>
      <c r="D42" s="54">
        <f>ROUND($D$13*C42,2)</f>
        <v>53.41</v>
      </c>
    </row>
    <row r="43" spans="1:4" x14ac:dyDescent="0.35">
      <c r="A43" s="198" t="s">
        <v>34</v>
      </c>
      <c r="B43" s="199"/>
      <c r="C43" s="30">
        <f>ROUND(SUM(C40:C42),5)</f>
        <v>3.7839999999999999E-2</v>
      </c>
      <c r="D43" s="29">
        <f>ROUND(SUM(D40:D42),2)</f>
        <v>63.16</v>
      </c>
    </row>
    <row r="44" spans="1:4" x14ac:dyDescent="0.35">
      <c r="A44" s="20"/>
      <c r="B44" s="20"/>
      <c r="C44" s="8"/>
      <c r="D44" s="7"/>
    </row>
    <row r="45" spans="1:4" x14ac:dyDescent="0.35">
      <c r="A45" s="207" t="s">
        <v>35</v>
      </c>
      <c r="B45" s="208"/>
      <c r="C45" s="90" t="s">
        <v>6</v>
      </c>
      <c r="D45" s="90" t="s">
        <v>7</v>
      </c>
    </row>
    <row r="46" spans="1:4" ht="29" customHeight="1" x14ac:dyDescent="0.35">
      <c r="A46" s="176" t="s">
        <v>36</v>
      </c>
      <c r="B46" s="178"/>
      <c r="C46" s="14">
        <f>ROUND(C25*C37,5)</f>
        <v>9.3460000000000001E-2</v>
      </c>
      <c r="D46" s="5">
        <f>ROUND($D$13*C46,2)</f>
        <v>155.99</v>
      </c>
    </row>
    <row r="47" spans="1:4" x14ac:dyDescent="0.35">
      <c r="A47" s="198" t="s">
        <v>37</v>
      </c>
      <c r="B47" s="199"/>
      <c r="C47" s="30">
        <f>ROUND(SUM(C46),5)</f>
        <v>9.3460000000000001E-2</v>
      </c>
      <c r="D47" s="29">
        <f>ROUND(SUM(D46),2)</f>
        <v>155.99</v>
      </c>
    </row>
    <row r="48" spans="1:4" x14ac:dyDescent="0.35">
      <c r="A48" s="20"/>
      <c r="B48" s="20"/>
      <c r="C48" s="8"/>
      <c r="D48" s="7"/>
    </row>
    <row r="49" spans="1:4" x14ac:dyDescent="0.35">
      <c r="A49" s="207" t="s">
        <v>38</v>
      </c>
      <c r="B49" s="208"/>
      <c r="C49" s="90" t="s">
        <v>6</v>
      </c>
      <c r="D49" s="90" t="s">
        <v>7</v>
      </c>
    </row>
    <row r="50" spans="1:4" ht="65.5" customHeight="1" x14ac:dyDescent="0.35">
      <c r="A50" s="176" t="s">
        <v>39</v>
      </c>
      <c r="B50" s="178"/>
      <c r="C50" s="15">
        <f>ROUND(8%*C40,5)</f>
        <v>3.3E-4</v>
      </c>
      <c r="D50" s="5">
        <f>ROUND($D$13*C50,2)</f>
        <v>0.55000000000000004</v>
      </c>
    </row>
    <row r="51" spans="1:4" x14ac:dyDescent="0.35">
      <c r="A51" s="198" t="s">
        <v>40</v>
      </c>
      <c r="B51" s="199"/>
      <c r="C51" s="30">
        <f>ROUND(SUM(C50:C50),5)</f>
        <v>3.3E-4</v>
      </c>
      <c r="D51" s="29">
        <f>ROUND(SUM(D50:D50),2)</f>
        <v>0.55000000000000004</v>
      </c>
    </row>
    <row r="52" spans="1:4" x14ac:dyDescent="0.35">
      <c r="A52" s="20"/>
      <c r="B52" s="20"/>
      <c r="C52" s="8"/>
      <c r="D52" s="7"/>
    </row>
    <row r="53" spans="1:4" x14ac:dyDescent="0.35">
      <c r="A53" s="207" t="s">
        <v>41</v>
      </c>
      <c r="B53" s="208"/>
      <c r="C53" s="90" t="s">
        <v>6</v>
      </c>
      <c r="D53" s="90" t="s">
        <v>7</v>
      </c>
    </row>
    <row r="54" spans="1:4" ht="106.5" customHeight="1" x14ac:dyDescent="0.35">
      <c r="A54" s="176" t="s">
        <v>42</v>
      </c>
      <c r="B54" s="178"/>
      <c r="C54" s="14">
        <f>ROUND(C25*(13/12)*(4/12)*2/100,5)</f>
        <v>2.8700000000000002E-3</v>
      </c>
      <c r="D54" s="5">
        <f>ROUND($D$13*C54,2)</f>
        <v>4.79</v>
      </c>
    </row>
    <row r="55" spans="1:4" x14ac:dyDescent="0.35">
      <c r="A55" s="198" t="s">
        <v>43</v>
      </c>
      <c r="B55" s="199"/>
      <c r="C55" s="30">
        <f>ROUND(SUM(C54),5)</f>
        <v>2.8700000000000002E-3</v>
      </c>
      <c r="D55" s="29">
        <f>ROUND(SUM(D54),2)</f>
        <v>4.79</v>
      </c>
    </row>
    <row r="56" spans="1:4" x14ac:dyDescent="0.35">
      <c r="A56" s="198" t="s">
        <v>44</v>
      </c>
      <c r="B56" s="199"/>
      <c r="C56" s="30">
        <f>ROUND(C25+C37+C43+C47+C51+C55,5)</f>
        <v>0.76732999999999996</v>
      </c>
      <c r="D56" s="29">
        <f>ROUND(D25+D37+D43+D47+D51+D55,2)</f>
        <v>1280.72</v>
      </c>
    </row>
    <row r="57" spans="1:4" ht="15" customHeight="1" x14ac:dyDescent="0.35">
      <c r="A57" s="20"/>
      <c r="B57" s="20"/>
      <c r="C57" s="8"/>
      <c r="D57" s="7"/>
    </row>
    <row r="58" spans="1:4" ht="15" customHeight="1" x14ac:dyDescent="0.35">
      <c r="A58" s="198" t="s">
        <v>45</v>
      </c>
      <c r="B58" s="200"/>
      <c r="C58" s="199"/>
      <c r="D58" s="29">
        <f>D13+D56</f>
        <v>2949.76</v>
      </c>
    </row>
    <row r="59" spans="1:4" ht="15" customHeight="1" x14ac:dyDescent="0.35">
      <c r="A59" s="3"/>
      <c r="B59" s="3"/>
      <c r="C59" s="3"/>
      <c r="D59" s="3"/>
    </row>
    <row r="60" spans="1:4" ht="15" customHeight="1" x14ac:dyDescent="0.35">
      <c r="A60" s="202" t="s">
        <v>72</v>
      </c>
      <c r="B60" s="202"/>
      <c r="C60" s="202"/>
      <c r="D60" s="202"/>
    </row>
    <row r="61" spans="1:4" x14ac:dyDescent="0.35">
      <c r="A61" s="202" t="s">
        <v>46</v>
      </c>
      <c r="B61" s="202"/>
      <c r="C61" s="90" t="s">
        <v>218</v>
      </c>
      <c r="D61" s="92" t="s">
        <v>7</v>
      </c>
    </row>
    <row r="62" spans="1:4" ht="96" customHeight="1" x14ac:dyDescent="0.35">
      <c r="A62" s="206" t="s">
        <v>91</v>
      </c>
      <c r="B62" s="206"/>
      <c r="C62" s="33">
        <v>17</v>
      </c>
      <c r="D62" s="33">
        <f>ROUND(C62*4,2)</f>
        <v>68</v>
      </c>
    </row>
    <row r="63" spans="1:4" ht="102.5" customHeight="1" x14ac:dyDescent="0.35">
      <c r="A63" s="206" t="s">
        <v>93</v>
      </c>
      <c r="B63" s="206"/>
      <c r="C63" s="104">
        <v>3.8</v>
      </c>
      <c r="D63" s="33">
        <f>ROUND(C63*2*4,2)</f>
        <v>30.4</v>
      </c>
    </row>
    <row r="64" spans="1:4" ht="15" customHeight="1" x14ac:dyDescent="0.35">
      <c r="A64" s="217" t="s">
        <v>48</v>
      </c>
      <c r="B64" s="217"/>
      <c r="C64" s="217"/>
      <c r="D64" s="29">
        <f>ROUND(SUM(D62:D63),2)</f>
        <v>98.4</v>
      </c>
    </row>
    <row r="65" spans="1:4" x14ac:dyDescent="0.35">
      <c r="A65" s="20"/>
      <c r="B65" s="20"/>
      <c r="C65" s="20"/>
      <c r="D65" s="7"/>
    </row>
    <row r="66" spans="1:4" ht="30" customHeight="1" x14ac:dyDescent="0.35">
      <c r="A66" s="198" t="s">
        <v>49</v>
      </c>
      <c r="B66" s="200"/>
      <c r="C66" s="199"/>
      <c r="D66" s="29">
        <f>ROUND(D58+D64,2)</f>
        <v>3048.16</v>
      </c>
    </row>
    <row r="67" spans="1:4" x14ac:dyDescent="0.35">
      <c r="A67" s="20"/>
      <c r="B67" s="20"/>
      <c r="C67" s="20"/>
      <c r="D67" s="7"/>
    </row>
    <row r="68" spans="1:4" x14ac:dyDescent="0.35">
      <c r="A68" s="202" t="s">
        <v>88</v>
      </c>
      <c r="B68" s="202"/>
      <c r="C68" s="202"/>
      <c r="D68" s="202"/>
    </row>
    <row r="69" spans="1:4" x14ac:dyDescent="0.35">
      <c r="A69" s="207" t="s">
        <v>50</v>
      </c>
      <c r="B69" s="208"/>
      <c r="C69" s="90" t="s">
        <v>6</v>
      </c>
      <c r="D69" s="90" t="s">
        <v>7</v>
      </c>
    </row>
    <row r="70" spans="1:4" s="1" customFormat="1" ht="30" customHeight="1" x14ac:dyDescent="0.3">
      <c r="A70" s="176" t="s">
        <v>51</v>
      </c>
      <c r="B70" s="178"/>
      <c r="C70" s="13">
        <v>0</v>
      </c>
      <c r="D70" s="18">
        <f>ROUND(D66*C70,2)</f>
        <v>0</v>
      </c>
    </row>
    <row r="71" spans="1:4" s="1" customFormat="1" ht="30" customHeight="1" x14ac:dyDescent="0.3">
      <c r="A71" s="196" t="s">
        <v>9</v>
      </c>
      <c r="B71" s="197"/>
      <c r="C71" s="41">
        <v>0</v>
      </c>
      <c r="D71" s="44">
        <f>ROUND(D66*C71,2)</f>
        <v>0</v>
      </c>
    </row>
    <row r="72" spans="1:4" x14ac:dyDescent="0.35">
      <c r="A72" s="198" t="s">
        <v>52</v>
      </c>
      <c r="B72" s="199"/>
      <c r="C72" s="31">
        <f>ROUND(SUM(C70:C71),5)</f>
        <v>0</v>
      </c>
      <c r="D72" s="29">
        <f>SUM(D70:D71)</f>
        <v>0</v>
      </c>
    </row>
    <row r="73" spans="1:4" x14ac:dyDescent="0.35">
      <c r="A73" s="20"/>
      <c r="B73" s="20"/>
      <c r="C73" s="6"/>
      <c r="D73" s="7"/>
    </row>
    <row r="74" spans="1:4" ht="30" customHeight="1" x14ac:dyDescent="0.35">
      <c r="A74" s="198" t="s">
        <v>73</v>
      </c>
      <c r="B74" s="200"/>
      <c r="C74" s="199"/>
      <c r="D74" s="29">
        <f>ROUND(D66+D72,2)</f>
        <v>3048.16</v>
      </c>
    </row>
    <row r="75" spans="1:4" x14ac:dyDescent="0.35">
      <c r="A75" s="20"/>
      <c r="B75" s="20"/>
      <c r="C75" s="20"/>
      <c r="D75" s="7"/>
    </row>
    <row r="76" spans="1:4" ht="35.25" customHeight="1" x14ac:dyDescent="0.35">
      <c r="A76" s="235" t="s">
        <v>63</v>
      </c>
      <c r="B76" s="235"/>
      <c r="C76" s="30">
        <f>ROUND(1-(SUM(C79:C81)/1),5)</f>
        <v>0.91349999999999998</v>
      </c>
      <c r="D76" s="29">
        <f>ROUND(D74/C76,2)</f>
        <v>3336.79</v>
      </c>
    </row>
    <row r="77" spans="1:4" x14ac:dyDescent="0.35">
      <c r="A77" s="3"/>
      <c r="B77" s="3"/>
      <c r="C77" s="3"/>
      <c r="D77" s="3"/>
    </row>
    <row r="78" spans="1:4" x14ac:dyDescent="0.35">
      <c r="A78" s="207" t="s">
        <v>53</v>
      </c>
      <c r="B78" s="208"/>
      <c r="C78" s="90" t="s">
        <v>6</v>
      </c>
      <c r="D78" s="90" t="s">
        <v>7</v>
      </c>
    </row>
    <row r="79" spans="1:4" ht="22" customHeight="1" x14ac:dyDescent="0.35">
      <c r="A79" s="176" t="s">
        <v>54</v>
      </c>
      <c r="B79" s="178"/>
      <c r="C79" s="13">
        <v>0.05</v>
      </c>
      <c r="D79" s="5">
        <f>ROUND($D$76*C79,2)</f>
        <v>166.84</v>
      </c>
    </row>
    <row r="80" spans="1:4" ht="22" customHeight="1" x14ac:dyDescent="0.35">
      <c r="A80" s="196" t="s">
        <v>55</v>
      </c>
      <c r="B80" s="197"/>
      <c r="C80" s="41">
        <v>0.03</v>
      </c>
      <c r="D80" s="42">
        <f>ROUND($D$76*C80,2)</f>
        <v>100.1</v>
      </c>
    </row>
    <row r="81" spans="1:4" ht="22" customHeight="1" x14ac:dyDescent="0.35">
      <c r="A81" s="176" t="s">
        <v>56</v>
      </c>
      <c r="B81" s="178"/>
      <c r="C81" s="13">
        <v>6.4999999999999997E-3</v>
      </c>
      <c r="D81" s="5">
        <f>ROUND($D$76*C81,2)</f>
        <v>21.69</v>
      </c>
    </row>
    <row r="82" spans="1:4" x14ac:dyDescent="0.35">
      <c r="A82" s="198" t="s">
        <v>57</v>
      </c>
      <c r="B82" s="199"/>
      <c r="C82" s="30">
        <f>ROUND(SUM(C79:C81),5)</f>
        <v>8.6499999999999994E-2</v>
      </c>
      <c r="D82" s="29">
        <f>ROUND(SUM(D79:D81),2)</f>
        <v>288.63</v>
      </c>
    </row>
    <row r="83" spans="1:4" ht="10" customHeight="1" x14ac:dyDescent="0.35">
      <c r="A83" s="3"/>
      <c r="B83" s="3"/>
      <c r="C83" s="3"/>
      <c r="D83" s="3"/>
    </row>
    <row r="84" spans="1:4" ht="25" customHeight="1" x14ac:dyDescent="0.35">
      <c r="A84" s="198" t="s">
        <v>58</v>
      </c>
      <c r="B84" s="200"/>
      <c r="C84" s="199"/>
      <c r="D84" s="29">
        <f>ROUND(D74+D82,2)</f>
        <v>3336.79</v>
      </c>
    </row>
    <row r="85" spans="1:4" ht="25" customHeight="1" x14ac:dyDescent="0.35">
      <c r="A85" s="198" t="s">
        <v>64</v>
      </c>
      <c r="B85" s="200"/>
      <c r="C85" s="199"/>
      <c r="D85" s="29">
        <f>ROUND(D84*12,2)</f>
        <v>40041.480000000003</v>
      </c>
    </row>
    <row r="86" spans="1:4" ht="10" customHeight="1" x14ac:dyDescent="0.35">
      <c r="A86" s="20"/>
      <c r="B86" s="20"/>
      <c r="C86" s="20"/>
      <c r="D86" s="7"/>
    </row>
    <row r="87" spans="1:4" ht="15" customHeight="1" x14ac:dyDescent="0.35">
      <c r="A87" s="202" t="s">
        <v>285</v>
      </c>
      <c r="B87" s="202"/>
      <c r="C87" s="202"/>
      <c r="D87" s="202"/>
    </row>
    <row r="88" spans="1:4" ht="15" customHeight="1" x14ac:dyDescent="0.35">
      <c r="A88" s="252" t="s">
        <v>85</v>
      </c>
      <c r="B88" s="253"/>
      <c r="C88" s="254"/>
      <c r="D88" s="95">
        <f>ROUND(D84/220,2)</f>
        <v>15.17</v>
      </c>
    </row>
    <row r="89" spans="1:4" ht="15" customHeight="1" x14ac:dyDescent="0.35">
      <c r="A89" s="252" t="s">
        <v>86</v>
      </c>
      <c r="B89" s="253"/>
      <c r="C89" s="254"/>
      <c r="D89" s="19">
        <f>ROUND((D88*50%)+D88,2)</f>
        <v>22.76</v>
      </c>
    </row>
    <row r="90" spans="1:4" ht="15" customHeight="1" x14ac:dyDescent="0.35">
      <c r="A90" s="252" t="s">
        <v>87</v>
      </c>
      <c r="B90" s="253"/>
      <c r="C90" s="254"/>
      <c r="D90" s="19">
        <f>ROUND((D88*100%)+D88,2)</f>
        <v>30.34</v>
      </c>
    </row>
    <row r="91" spans="1:4" ht="10" customHeight="1" x14ac:dyDescent="0.35">
      <c r="A91" s="20"/>
      <c r="B91" s="20"/>
      <c r="C91" s="20"/>
      <c r="D91" s="7"/>
    </row>
    <row r="92" spans="1:4" ht="15" customHeight="1" x14ac:dyDescent="0.35">
      <c r="A92" s="202" t="s">
        <v>59</v>
      </c>
      <c r="B92" s="202"/>
      <c r="C92" s="202"/>
      <c r="D92" s="27" t="s">
        <v>6</v>
      </c>
    </row>
    <row r="93" spans="1:4" ht="15" customHeight="1" x14ac:dyDescent="0.35">
      <c r="A93" s="201" t="s">
        <v>74</v>
      </c>
      <c r="B93" s="201"/>
      <c r="C93" s="201"/>
      <c r="D93" s="17">
        <f>C25</f>
        <v>0.39800000000000002</v>
      </c>
    </row>
    <row r="94" spans="1:4" ht="15" customHeight="1" x14ac:dyDescent="0.35">
      <c r="A94" s="203" t="s">
        <v>29</v>
      </c>
      <c r="B94" s="203"/>
      <c r="C94" s="203"/>
      <c r="D94" s="43">
        <f>C37</f>
        <v>0.23483000000000001</v>
      </c>
    </row>
    <row r="95" spans="1:4" ht="15" customHeight="1" x14ac:dyDescent="0.35">
      <c r="A95" s="201" t="s">
        <v>34</v>
      </c>
      <c r="B95" s="201"/>
      <c r="C95" s="201"/>
      <c r="D95" s="17">
        <f>C43</f>
        <v>3.7839999999999999E-2</v>
      </c>
    </row>
    <row r="96" spans="1:4" ht="15" customHeight="1" x14ac:dyDescent="0.35">
      <c r="A96" s="203" t="s">
        <v>37</v>
      </c>
      <c r="B96" s="203"/>
      <c r="C96" s="203"/>
      <c r="D96" s="43">
        <f>C47</f>
        <v>9.3460000000000001E-2</v>
      </c>
    </row>
    <row r="97" spans="1:4" ht="15" customHeight="1" x14ac:dyDescent="0.35">
      <c r="A97" s="201" t="s">
        <v>40</v>
      </c>
      <c r="B97" s="201"/>
      <c r="C97" s="201"/>
      <c r="D97" s="17">
        <f>C51</f>
        <v>3.3E-4</v>
      </c>
    </row>
    <row r="98" spans="1:4" ht="15" customHeight="1" x14ac:dyDescent="0.35">
      <c r="A98" s="203" t="s">
        <v>43</v>
      </c>
      <c r="B98" s="203"/>
      <c r="C98" s="203"/>
      <c r="D98" s="43">
        <f>C55</f>
        <v>2.8700000000000002E-3</v>
      </c>
    </row>
    <row r="99" spans="1:4" ht="15" customHeight="1" x14ac:dyDescent="0.35">
      <c r="A99" s="236" t="s">
        <v>75</v>
      </c>
      <c r="B99" s="236"/>
      <c r="C99" s="236"/>
      <c r="D99" s="28">
        <f>ROUND(SUM(D93:D98),5)</f>
        <v>0.76732999999999996</v>
      </c>
    </row>
    <row r="100" spans="1:4" ht="10" customHeight="1" x14ac:dyDescent="0.35"/>
    <row r="101" spans="1:4" x14ac:dyDescent="0.35">
      <c r="A101" s="207" t="s">
        <v>268</v>
      </c>
      <c r="B101" s="208"/>
      <c r="C101" s="90" t="s">
        <v>269</v>
      </c>
      <c r="D101" s="27" t="s">
        <v>6</v>
      </c>
    </row>
    <row r="102" spans="1:4" x14ac:dyDescent="0.35">
      <c r="A102" s="212" t="s">
        <v>270</v>
      </c>
      <c r="B102" s="213"/>
      <c r="C102" s="110">
        <f>D13</f>
        <v>1669.04</v>
      </c>
      <c r="D102" s="17">
        <f>ROUND(C102/$C$106,5)</f>
        <v>0.50019000000000002</v>
      </c>
    </row>
    <row r="103" spans="1:4" ht="24.5" customHeight="1" x14ac:dyDescent="0.35">
      <c r="A103" s="229" t="s">
        <v>271</v>
      </c>
      <c r="B103" s="230"/>
      <c r="C103" s="111">
        <f>D56</f>
        <v>1280.72</v>
      </c>
      <c r="D103" s="43">
        <f>ROUND(C103/$C$106,5)</f>
        <v>0.38381999999999999</v>
      </c>
    </row>
    <row r="104" spans="1:4" x14ac:dyDescent="0.35">
      <c r="A104" s="212" t="s">
        <v>272</v>
      </c>
      <c r="B104" s="213"/>
      <c r="C104" s="110">
        <f>D64</f>
        <v>98.4</v>
      </c>
      <c r="D104" s="17">
        <f>ROUND(C104/$C$106,5)</f>
        <v>2.9489999999999999E-2</v>
      </c>
    </row>
    <row r="105" spans="1:4" x14ac:dyDescent="0.35">
      <c r="A105" s="229" t="s">
        <v>273</v>
      </c>
      <c r="B105" s="230"/>
      <c r="C105" s="111">
        <f>ROUND(D72+D82,2)</f>
        <v>288.63</v>
      </c>
      <c r="D105" s="43">
        <f>ROUND(C105/$C$106,5)</f>
        <v>8.6499999999999994E-2</v>
      </c>
    </row>
    <row r="106" spans="1:4" x14ac:dyDescent="0.35">
      <c r="A106" s="231" t="s">
        <v>274</v>
      </c>
      <c r="B106" s="232"/>
      <c r="C106" s="112">
        <f>ROUND(SUM(C102:C105),2)</f>
        <v>3336.79</v>
      </c>
      <c r="D106" s="30">
        <f>ROUND(SUM(D102:D105),5)</f>
        <v>1</v>
      </c>
    </row>
  </sheetData>
  <mergeCells count="88">
    <mergeCell ref="A101:B101"/>
    <mergeCell ref="A95:C95"/>
    <mergeCell ref="A96:C96"/>
    <mergeCell ref="A97:C97"/>
    <mergeCell ref="A98:C98"/>
    <mergeCell ref="A99:C99"/>
    <mergeCell ref="A102:B102"/>
    <mergeCell ref="A103:B103"/>
    <mergeCell ref="A104:B104"/>
    <mergeCell ref="A105:B105"/>
    <mergeCell ref="A106:B106"/>
    <mergeCell ref="A94:C94"/>
    <mergeCell ref="A72:B72"/>
    <mergeCell ref="A74:C74"/>
    <mergeCell ref="A76:B76"/>
    <mergeCell ref="A78:B78"/>
    <mergeCell ref="A87:D87"/>
    <mergeCell ref="A88:C88"/>
    <mergeCell ref="A89:C89"/>
    <mergeCell ref="A90:C90"/>
    <mergeCell ref="A82:B82"/>
    <mergeCell ref="A84:C84"/>
    <mergeCell ref="A85:C85"/>
    <mergeCell ref="A92:C92"/>
    <mergeCell ref="A93:C93"/>
    <mergeCell ref="A58:C58"/>
    <mergeCell ref="A79:B79"/>
    <mergeCell ref="A80:B80"/>
    <mergeCell ref="A81:B81"/>
    <mergeCell ref="A66:C66"/>
    <mergeCell ref="A68:D68"/>
    <mergeCell ref="A69:B69"/>
    <mergeCell ref="A70:B70"/>
    <mergeCell ref="A71:B71"/>
    <mergeCell ref="A64:C64"/>
    <mergeCell ref="A60:D60"/>
    <mergeCell ref="A61:B61"/>
    <mergeCell ref="A62:B62"/>
    <mergeCell ref="A63:B63"/>
    <mergeCell ref="A51:B51"/>
    <mergeCell ref="A53:B53"/>
    <mergeCell ref="A54:B54"/>
    <mergeCell ref="A55:B55"/>
    <mergeCell ref="A56:B56"/>
    <mergeCell ref="A49:B49"/>
    <mergeCell ref="A50:B50"/>
    <mergeCell ref="A40:B40"/>
    <mergeCell ref="A41:B41"/>
    <mergeCell ref="A42:B42"/>
    <mergeCell ref="A43:B43"/>
    <mergeCell ref="A45:B45"/>
    <mergeCell ref="A31:B31"/>
    <mergeCell ref="A32:B32"/>
    <mergeCell ref="A33:B33"/>
    <mergeCell ref="A46:B46"/>
    <mergeCell ref="A47:B47"/>
    <mergeCell ref="A34:B34"/>
    <mergeCell ref="A35:B35"/>
    <mergeCell ref="A36:B36"/>
    <mergeCell ref="A37:B37"/>
    <mergeCell ref="A39:B39"/>
    <mergeCell ref="A25:B25"/>
    <mergeCell ref="A27:B27"/>
    <mergeCell ref="A28:B28"/>
    <mergeCell ref="A29:B29"/>
    <mergeCell ref="A30:B30"/>
    <mergeCell ref="A23:B23"/>
    <mergeCell ref="A24:B24"/>
    <mergeCell ref="A13:C13"/>
    <mergeCell ref="A15:D15"/>
    <mergeCell ref="A16:B16"/>
    <mergeCell ref="A17:B17"/>
    <mergeCell ref="A18:B18"/>
    <mergeCell ref="B6:D6"/>
    <mergeCell ref="A19:B19"/>
    <mergeCell ref="A20:B20"/>
    <mergeCell ref="A21:B21"/>
    <mergeCell ref="A22:B22"/>
    <mergeCell ref="A8:D8"/>
    <mergeCell ref="A9:D9"/>
    <mergeCell ref="A10:B10"/>
    <mergeCell ref="A11:B11"/>
    <mergeCell ref="A12:B12"/>
    <mergeCell ref="A1:D1"/>
    <mergeCell ref="B2:D2"/>
    <mergeCell ref="B3:D3"/>
    <mergeCell ref="B4:D4"/>
    <mergeCell ref="B5:D5"/>
  </mergeCells>
  <pageMargins left="0.23622047244094491" right="0.23622047244094491" top="1.3385826771653544" bottom="0.74803149606299213" header="0.9055118110236221" footer="0.31496062992125984"/>
  <pageSetup fitToHeight="0" orientation="landscape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9BFA5-8783-4F35-A439-E2C38D9B842E}">
  <sheetPr codeName="Planilha28">
    <pageSetUpPr fitToPage="1"/>
  </sheetPr>
  <dimension ref="A1:D106"/>
  <sheetViews>
    <sheetView view="pageBreakPreview" zoomScaleNormal="100" zoomScaleSheetLayoutView="100" workbookViewId="0">
      <selection activeCell="C72" sqref="C72"/>
    </sheetView>
  </sheetViews>
  <sheetFormatPr defaultRowHeight="14.5" x14ac:dyDescent="0.35"/>
  <cols>
    <col min="1" max="1" width="33.453125" customWidth="1"/>
    <col min="2" max="2" width="14.54296875" customWidth="1"/>
    <col min="3" max="3" width="10.81640625" customWidth="1"/>
    <col min="4" max="4" width="12.26953125" customWidth="1"/>
  </cols>
  <sheetData>
    <row r="1" spans="1:4" ht="23" customHeight="1" x14ac:dyDescent="0.35">
      <c r="A1" s="218" t="s">
        <v>284</v>
      </c>
      <c r="B1" s="218"/>
      <c r="C1" s="218"/>
      <c r="D1" s="218"/>
    </row>
    <row r="2" spans="1:4" ht="30.5" customHeight="1" x14ac:dyDescent="0.35">
      <c r="A2" s="23" t="s">
        <v>2</v>
      </c>
      <c r="B2" s="214" t="str">
        <f>'Quantidade de Cargo'!A15</f>
        <v>Oficial de Manutenção</v>
      </c>
      <c r="C2" s="215"/>
      <c r="D2" s="216"/>
    </row>
    <row r="3" spans="1:4" ht="15" customHeight="1" x14ac:dyDescent="0.35">
      <c r="A3" s="23" t="s">
        <v>61</v>
      </c>
      <c r="B3" s="219" t="str">
        <f>'Salario Base'!B15</f>
        <v>5134-25</v>
      </c>
      <c r="C3" s="220"/>
      <c r="D3" s="221"/>
    </row>
    <row r="4" spans="1:4" ht="15" customHeight="1" x14ac:dyDescent="0.35">
      <c r="A4" s="24" t="s">
        <v>1</v>
      </c>
      <c r="B4" s="214" t="s">
        <v>143</v>
      </c>
      <c r="C4" s="215"/>
      <c r="D4" s="216"/>
    </row>
    <row r="5" spans="1:4" ht="26" x14ac:dyDescent="0.35">
      <c r="A5" s="24" t="s">
        <v>3</v>
      </c>
      <c r="B5" s="222">
        <v>1</v>
      </c>
      <c r="C5" s="220"/>
      <c r="D5" s="221"/>
    </row>
    <row r="6" spans="1:4" ht="65.5" customHeight="1" x14ac:dyDescent="0.35">
      <c r="A6" s="24" t="s">
        <v>62</v>
      </c>
      <c r="B6" s="214" t="s">
        <v>278</v>
      </c>
      <c r="C6" s="215"/>
      <c r="D6" s="216"/>
    </row>
    <row r="7" spans="1:4" ht="15" customHeight="1" x14ac:dyDescent="0.35">
      <c r="A7" s="2"/>
      <c r="B7" s="16"/>
      <c r="C7" s="3"/>
      <c r="D7" s="3"/>
    </row>
    <row r="8" spans="1:4" x14ac:dyDescent="0.35">
      <c r="A8" s="223" t="s">
        <v>4</v>
      </c>
      <c r="B8" s="223"/>
      <c r="C8" s="223"/>
      <c r="D8" s="223"/>
    </row>
    <row r="9" spans="1:4" x14ac:dyDescent="0.35">
      <c r="A9" s="224" t="s">
        <v>70</v>
      </c>
      <c r="B9" s="225"/>
      <c r="C9" s="225"/>
      <c r="D9" s="226"/>
    </row>
    <row r="10" spans="1:4" x14ac:dyDescent="0.35">
      <c r="A10" s="227" t="s">
        <v>5</v>
      </c>
      <c r="B10" s="228"/>
      <c r="C10" s="90" t="s">
        <v>6</v>
      </c>
      <c r="D10" s="90" t="s">
        <v>7</v>
      </c>
    </row>
    <row r="11" spans="1:4" ht="40.5" customHeight="1" x14ac:dyDescent="0.35">
      <c r="A11" s="176" t="s">
        <v>8</v>
      </c>
      <c r="B11" s="178"/>
      <c r="C11" s="91" t="s">
        <v>60</v>
      </c>
      <c r="D11" s="4">
        <f>'Salario Base'!E18</f>
        <v>2498.52</v>
      </c>
    </row>
    <row r="12" spans="1:4" ht="15" customHeight="1" x14ac:dyDescent="0.35">
      <c r="A12" s="229" t="s">
        <v>66</v>
      </c>
      <c r="B12" s="230"/>
      <c r="C12" s="53"/>
      <c r="D12" s="42">
        <f>C12*D11/100</f>
        <v>0</v>
      </c>
    </row>
    <row r="13" spans="1:4" x14ac:dyDescent="0.35">
      <c r="A13" s="217" t="s">
        <v>20</v>
      </c>
      <c r="B13" s="217"/>
      <c r="C13" s="217"/>
      <c r="D13" s="29">
        <f>ROUND(SUM(D11:D12),2)</f>
        <v>2498.52</v>
      </c>
    </row>
    <row r="14" spans="1:4" x14ac:dyDescent="0.35">
      <c r="A14" s="3"/>
      <c r="B14" s="3"/>
      <c r="C14" s="3"/>
      <c r="D14" s="3"/>
    </row>
    <row r="15" spans="1:4" x14ac:dyDescent="0.35">
      <c r="A15" s="202" t="s">
        <v>71</v>
      </c>
      <c r="B15" s="202"/>
      <c r="C15" s="202"/>
      <c r="D15" s="202"/>
    </row>
    <row r="16" spans="1:4" x14ac:dyDescent="0.35">
      <c r="A16" s="202" t="s">
        <v>10</v>
      </c>
      <c r="B16" s="202"/>
      <c r="C16" s="90" t="s">
        <v>6</v>
      </c>
      <c r="D16" s="90" t="s">
        <v>7</v>
      </c>
    </row>
    <row r="17" spans="1:4" x14ac:dyDescent="0.35">
      <c r="A17" s="176" t="s">
        <v>11</v>
      </c>
      <c r="B17" s="178"/>
      <c r="C17" s="11">
        <v>0.2</v>
      </c>
      <c r="D17" s="5">
        <f>ROUND($D$13*C17,2)</f>
        <v>499.7</v>
      </c>
    </row>
    <row r="18" spans="1:4" x14ac:dyDescent="0.35">
      <c r="A18" s="196" t="s">
        <v>12</v>
      </c>
      <c r="B18" s="197"/>
      <c r="C18" s="52">
        <v>0.08</v>
      </c>
      <c r="D18" s="42">
        <f t="shared" ref="D18:D24" si="0">ROUND($D$13*C18,2)</f>
        <v>199.88</v>
      </c>
    </row>
    <row r="19" spans="1:4" x14ac:dyDescent="0.35">
      <c r="A19" s="176" t="s">
        <v>13</v>
      </c>
      <c r="B19" s="178"/>
      <c r="C19" s="11">
        <v>1.4999999999999999E-2</v>
      </c>
      <c r="D19" s="5">
        <f t="shared" si="0"/>
        <v>37.479999999999997</v>
      </c>
    </row>
    <row r="20" spans="1:4" ht="25.5" customHeight="1" x14ac:dyDescent="0.35">
      <c r="A20" s="196" t="s">
        <v>14</v>
      </c>
      <c r="B20" s="197"/>
      <c r="C20" s="52">
        <v>0.01</v>
      </c>
      <c r="D20" s="42">
        <f t="shared" si="0"/>
        <v>24.99</v>
      </c>
    </row>
    <row r="21" spans="1:4" ht="28.5" customHeight="1" x14ac:dyDescent="0.35">
      <c r="A21" s="176" t="s">
        <v>15</v>
      </c>
      <c r="B21" s="178"/>
      <c r="C21" s="11">
        <v>2E-3</v>
      </c>
      <c r="D21" s="5">
        <f t="shared" si="0"/>
        <v>5</v>
      </c>
    </row>
    <row r="22" spans="1:4" x14ac:dyDescent="0.35">
      <c r="A22" s="196" t="s">
        <v>16</v>
      </c>
      <c r="B22" s="197"/>
      <c r="C22" s="52">
        <v>6.0000000000000001E-3</v>
      </c>
      <c r="D22" s="42">
        <f t="shared" si="0"/>
        <v>14.99</v>
      </c>
    </row>
    <row r="23" spans="1:4" x14ac:dyDescent="0.35">
      <c r="A23" s="212" t="s">
        <v>17</v>
      </c>
      <c r="B23" s="213"/>
      <c r="C23" s="11">
        <v>2.5000000000000001E-2</v>
      </c>
      <c r="D23" s="5">
        <f t="shared" si="0"/>
        <v>62.46</v>
      </c>
    </row>
    <row r="24" spans="1:4" ht="39.75" customHeight="1" x14ac:dyDescent="0.35">
      <c r="A24" s="229" t="s">
        <v>18</v>
      </c>
      <c r="B24" s="230"/>
      <c r="C24" s="50">
        <v>0.06</v>
      </c>
      <c r="D24" s="42">
        <f t="shared" si="0"/>
        <v>149.91</v>
      </c>
    </row>
    <row r="25" spans="1:4" x14ac:dyDescent="0.35">
      <c r="A25" s="198" t="s">
        <v>19</v>
      </c>
      <c r="B25" s="199"/>
      <c r="C25" s="30">
        <f>ROUND(SUM(C17:C24),5)</f>
        <v>0.39800000000000002</v>
      </c>
      <c r="D25" s="29">
        <f>ROUND(SUM(D17:D24),2)</f>
        <v>994.41</v>
      </c>
    </row>
    <row r="26" spans="1:4" x14ac:dyDescent="0.35">
      <c r="A26" s="20"/>
      <c r="B26" s="20"/>
      <c r="C26" s="6"/>
      <c r="D26" s="7"/>
    </row>
    <row r="27" spans="1:4" x14ac:dyDescent="0.35">
      <c r="A27" s="202" t="s">
        <v>21</v>
      </c>
      <c r="B27" s="202"/>
      <c r="C27" s="90" t="s">
        <v>6</v>
      </c>
      <c r="D27" s="90" t="s">
        <v>7</v>
      </c>
    </row>
    <row r="28" spans="1:4" ht="25" customHeight="1" x14ac:dyDescent="0.35">
      <c r="A28" s="212" t="s">
        <v>22</v>
      </c>
      <c r="B28" s="213"/>
      <c r="C28" s="9">
        <f>ROUND(1/12,5)</f>
        <v>8.3330000000000001E-2</v>
      </c>
      <c r="D28" s="5">
        <f>ROUND($D$13*C28,2)</f>
        <v>208.2</v>
      </c>
    </row>
    <row r="29" spans="1:4" ht="25" customHeight="1" x14ac:dyDescent="0.35">
      <c r="A29" s="196" t="s">
        <v>263</v>
      </c>
      <c r="B29" s="197"/>
      <c r="C29" s="51">
        <f>ROUND((1/3)/12,5)</f>
        <v>2.7779999999999999E-2</v>
      </c>
      <c r="D29" s="42">
        <f t="shared" ref="D29:D36" si="1">ROUND($D$13*C29,2)</f>
        <v>69.41</v>
      </c>
    </row>
    <row r="30" spans="1:4" ht="25" customHeight="1" x14ac:dyDescent="0.35">
      <c r="A30" s="176" t="s">
        <v>23</v>
      </c>
      <c r="B30" s="178"/>
      <c r="C30" s="10">
        <f>ROUND((((100% / 30) * 7) / 12),5)</f>
        <v>1.9439999999999999E-2</v>
      </c>
      <c r="D30" s="5">
        <f t="shared" si="1"/>
        <v>48.57</v>
      </c>
    </row>
    <row r="31" spans="1:4" ht="25" customHeight="1" x14ac:dyDescent="0.35">
      <c r="A31" s="196" t="s">
        <v>24</v>
      </c>
      <c r="B31" s="197"/>
      <c r="C31" s="51">
        <f>ROUND((5/30)/12,5)</f>
        <v>1.389E-2</v>
      </c>
      <c r="D31" s="42">
        <f t="shared" si="1"/>
        <v>34.700000000000003</v>
      </c>
    </row>
    <row r="32" spans="1:4" ht="25" customHeight="1" x14ac:dyDescent="0.35">
      <c r="A32" s="176" t="s">
        <v>25</v>
      </c>
      <c r="B32" s="178"/>
      <c r="C32" s="10">
        <f>ROUND(((15/30/12)*0.08),5)</f>
        <v>3.3300000000000001E-3</v>
      </c>
      <c r="D32" s="5">
        <f t="shared" si="1"/>
        <v>8.32</v>
      </c>
    </row>
    <row r="33" spans="1:4" ht="25" customHeight="1" x14ac:dyDescent="0.35">
      <c r="A33" s="196" t="s">
        <v>26</v>
      </c>
      <c r="B33" s="197"/>
      <c r="C33" s="51">
        <f>ROUND((1/30)/12,5)</f>
        <v>2.7799999999999999E-3</v>
      </c>
      <c r="D33" s="42">
        <f t="shared" si="1"/>
        <v>6.95</v>
      </c>
    </row>
    <row r="34" spans="1:4" ht="25" customHeight="1" x14ac:dyDescent="0.35">
      <c r="A34" s="176" t="s">
        <v>27</v>
      </c>
      <c r="B34" s="178"/>
      <c r="C34" s="10">
        <f>ROUND(0.1111*0.02*0.333,5)</f>
        <v>7.3999999999999999E-4</v>
      </c>
      <c r="D34" s="5">
        <f t="shared" si="1"/>
        <v>1.85</v>
      </c>
    </row>
    <row r="35" spans="1:4" ht="25" customHeight="1" x14ac:dyDescent="0.35">
      <c r="A35" s="196" t="s">
        <v>28</v>
      </c>
      <c r="B35" s="197"/>
      <c r="C35" s="51">
        <f>ROUND(((5/30)/12)*0.015,5)</f>
        <v>2.1000000000000001E-4</v>
      </c>
      <c r="D35" s="42">
        <f t="shared" si="1"/>
        <v>0.52</v>
      </c>
    </row>
    <row r="36" spans="1:4" ht="25" customHeight="1" x14ac:dyDescent="0.35">
      <c r="A36" s="176" t="s">
        <v>264</v>
      </c>
      <c r="B36" s="178"/>
      <c r="C36" s="10">
        <f>ROUND(1/12,5)</f>
        <v>8.3330000000000001E-2</v>
      </c>
      <c r="D36" s="5">
        <f t="shared" si="1"/>
        <v>208.2</v>
      </c>
    </row>
    <row r="37" spans="1:4" x14ac:dyDescent="0.35">
      <c r="A37" s="198" t="s">
        <v>29</v>
      </c>
      <c r="B37" s="199"/>
      <c r="C37" s="30">
        <f>ROUND(SUM(C28:C36),5)</f>
        <v>0.23483000000000001</v>
      </c>
      <c r="D37" s="29">
        <f>ROUND(SUM(D28:D36),2)</f>
        <v>586.72</v>
      </c>
    </row>
    <row r="38" spans="1:4" x14ac:dyDescent="0.35">
      <c r="A38" s="20"/>
      <c r="B38" s="20"/>
      <c r="C38" s="8"/>
      <c r="D38" s="7"/>
    </row>
    <row r="39" spans="1:4" x14ac:dyDescent="0.35">
      <c r="A39" s="207" t="s">
        <v>30</v>
      </c>
      <c r="B39" s="208"/>
      <c r="C39" s="90" t="s">
        <v>6</v>
      </c>
      <c r="D39" s="90" t="s">
        <v>7</v>
      </c>
    </row>
    <row r="40" spans="1:4" ht="25" customHeight="1" x14ac:dyDescent="0.35">
      <c r="A40" s="210" t="s">
        <v>31</v>
      </c>
      <c r="B40" s="211"/>
      <c r="C40" s="12">
        <f>ROUND(1/12*5%,5)</f>
        <v>4.1700000000000001E-3</v>
      </c>
      <c r="D40" s="54">
        <f>ROUND($D$13*C40,2)</f>
        <v>10.42</v>
      </c>
    </row>
    <row r="41" spans="1:4" ht="25" customHeight="1" x14ac:dyDescent="0.35">
      <c r="A41" s="196" t="s">
        <v>32</v>
      </c>
      <c r="B41" s="197"/>
      <c r="C41" s="50">
        <f>ROUND(0.02*(1/12),5)</f>
        <v>1.67E-3</v>
      </c>
      <c r="D41" s="42">
        <f>ROUND($D$13*C41,2)</f>
        <v>4.17</v>
      </c>
    </row>
    <row r="42" spans="1:4" ht="25" customHeight="1" x14ac:dyDescent="0.35">
      <c r="A42" s="210" t="s">
        <v>33</v>
      </c>
      <c r="B42" s="211"/>
      <c r="C42" s="15">
        <f>ROUND(40%*8%,5)</f>
        <v>3.2000000000000001E-2</v>
      </c>
      <c r="D42" s="54">
        <f>ROUND($D$13*C42,2)</f>
        <v>79.95</v>
      </c>
    </row>
    <row r="43" spans="1:4" x14ac:dyDescent="0.35">
      <c r="A43" s="198" t="s">
        <v>34</v>
      </c>
      <c r="B43" s="199"/>
      <c r="C43" s="30">
        <f>ROUND(SUM(C40:C42),5)</f>
        <v>3.7839999999999999E-2</v>
      </c>
      <c r="D43" s="29">
        <f>ROUND(SUM(D40:D42),2)</f>
        <v>94.54</v>
      </c>
    </row>
    <row r="44" spans="1:4" x14ac:dyDescent="0.35">
      <c r="A44" s="20"/>
      <c r="B44" s="20"/>
      <c r="C44" s="8"/>
      <c r="D44" s="7"/>
    </row>
    <row r="45" spans="1:4" x14ac:dyDescent="0.35">
      <c r="A45" s="207" t="s">
        <v>35</v>
      </c>
      <c r="B45" s="208"/>
      <c r="C45" s="90" t="s">
        <v>6</v>
      </c>
      <c r="D45" s="90" t="s">
        <v>7</v>
      </c>
    </row>
    <row r="46" spans="1:4" ht="29" customHeight="1" x14ac:dyDescent="0.35">
      <c r="A46" s="176" t="s">
        <v>36</v>
      </c>
      <c r="B46" s="178"/>
      <c r="C46" s="14">
        <f>ROUND(C25*C37,5)</f>
        <v>9.3460000000000001E-2</v>
      </c>
      <c r="D46" s="5">
        <f>ROUND($D$13*C46,2)</f>
        <v>233.51</v>
      </c>
    </row>
    <row r="47" spans="1:4" x14ac:dyDescent="0.35">
      <c r="A47" s="198" t="s">
        <v>37</v>
      </c>
      <c r="B47" s="199"/>
      <c r="C47" s="30">
        <f>ROUND(SUM(C46),5)</f>
        <v>9.3460000000000001E-2</v>
      </c>
      <c r="D47" s="29">
        <f>ROUND(SUM(D46),2)</f>
        <v>233.51</v>
      </c>
    </row>
    <row r="48" spans="1:4" x14ac:dyDescent="0.35">
      <c r="A48" s="20"/>
      <c r="B48" s="20"/>
      <c r="C48" s="8"/>
      <c r="D48" s="7"/>
    </row>
    <row r="49" spans="1:4" x14ac:dyDescent="0.35">
      <c r="A49" s="207" t="s">
        <v>38</v>
      </c>
      <c r="B49" s="208"/>
      <c r="C49" s="90" t="s">
        <v>6</v>
      </c>
      <c r="D49" s="90" t="s">
        <v>7</v>
      </c>
    </row>
    <row r="50" spans="1:4" ht="65.5" customHeight="1" x14ac:dyDescent="0.35">
      <c r="A50" s="176" t="s">
        <v>39</v>
      </c>
      <c r="B50" s="178"/>
      <c r="C50" s="15">
        <f>ROUND(8%*C40,5)</f>
        <v>3.3E-4</v>
      </c>
      <c r="D50" s="5">
        <f>ROUND($D$13*C50,2)</f>
        <v>0.82</v>
      </c>
    </row>
    <row r="51" spans="1:4" x14ac:dyDescent="0.35">
      <c r="A51" s="198" t="s">
        <v>40</v>
      </c>
      <c r="B51" s="199"/>
      <c r="C51" s="30">
        <f>ROUND(SUM(C50:C50),5)</f>
        <v>3.3E-4</v>
      </c>
      <c r="D51" s="29">
        <f>ROUND(SUM(D50:D50),2)</f>
        <v>0.82</v>
      </c>
    </row>
    <row r="52" spans="1:4" x14ac:dyDescent="0.35">
      <c r="A52" s="20"/>
      <c r="B52" s="20"/>
      <c r="C52" s="8"/>
      <c r="D52" s="7"/>
    </row>
    <row r="53" spans="1:4" x14ac:dyDescent="0.35">
      <c r="A53" s="207" t="s">
        <v>41</v>
      </c>
      <c r="B53" s="208"/>
      <c r="C53" s="90" t="s">
        <v>6</v>
      </c>
      <c r="D53" s="90" t="s">
        <v>7</v>
      </c>
    </row>
    <row r="54" spans="1:4" ht="106.5" customHeight="1" x14ac:dyDescent="0.35">
      <c r="A54" s="176" t="s">
        <v>42</v>
      </c>
      <c r="B54" s="178"/>
      <c r="C54" s="14">
        <f>ROUND(C25*(13/12)*(4/12)*2/100,5)</f>
        <v>2.8700000000000002E-3</v>
      </c>
      <c r="D54" s="5">
        <f>ROUND($D$13*C54,2)</f>
        <v>7.17</v>
      </c>
    </row>
    <row r="55" spans="1:4" x14ac:dyDescent="0.35">
      <c r="A55" s="198" t="s">
        <v>43</v>
      </c>
      <c r="B55" s="199"/>
      <c r="C55" s="30">
        <f>ROUND(SUM(C54),5)</f>
        <v>2.8700000000000002E-3</v>
      </c>
      <c r="D55" s="29">
        <f>ROUND(SUM(D54),2)</f>
        <v>7.17</v>
      </c>
    </row>
    <row r="56" spans="1:4" x14ac:dyDescent="0.35">
      <c r="A56" s="198" t="s">
        <v>44</v>
      </c>
      <c r="B56" s="199"/>
      <c r="C56" s="30">
        <f>ROUND(C25+C37+C43+C47+C51+C55,5)</f>
        <v>0.76732999999999996</v>
      </c>
      <c r="D56" s="29">
        <f>ROUND(D25+D37+D43+D47+D51+D55,2)</f>
        <v>1917.17</v>
      </c>
    </row>
    <row r="57" spans="1:4" ht="15" customHeight="1" x14ac:dyDescent="0.35">
      <c r="A57" s="20"/>
      <c r="B57" s="20"/>
      <c r="C57" s="8"/>
      <c r="D57" s="7"/>
    </row>
    <row r="58" spans="1:4" ht="15" customHeight="1" x14ac:dyDescent="0.35">
      <c r="A58" s="198" t="s">
        <v>45</v>
      </c>
      <c r="B58" s="200"/>
      <c r="C58" s="199"/>
      <c r="D58" s="29">
        <f>D13+D56</f>
        <v>4415.6900000000005</v>
      </c>
    </row>
    <row r="59" spans="1:4" ht="15" customHeight="1" x14ac:dyDescent="0.35">
      <c r="A59" s="3"/>
      <c r="B59" s="3"/>
      <c r="C59" s="3"/>
      <c r="D59" s="3"/>
    </row>
    <row r="60" spans="1:4" ht="15" customHeight="1" x14ac:dyDescent="0.35">
      <c r="A60" s="202" t="s">
        <v>72</v>
      </c>
      <c r="B60" s="202"/>
      <c r="C60" s="202"/>
      <c r="D60" s="202"/>
    </row>
    <row r="61" spans="1:4" x14ac:dyDescent="0.35">
      <c r="A61" s="202" t="s">
        <v>46</v>
      </c>
      <c r="B61" s="202"/>
      <c r="C61" s="90" t="s">
        <v>218</v>
      </c>
      <c r="D61" s="92" t="s">
        <v>7</v>
      </c>
    </row>
    <row r="62" spans="1:4" ht="96" customHeight="1" x14ac:dyDescent="0.35">
      <c r="A62" s="206" t="s">
        <v>91</v>
      </c>
      <c r="B62" s="206"/>
      <c r="C62" s="33">
        <v>20</v>
      </c>
      <c r="D62" s="33">
        <f>ROUND(C62*4,2)</f>
        <v>80</v>
      </c>
    </row>
    <row r="63" spans="1:4" ht="102.5" customHeight="1" x14ac:dyDescent="0.35">
      <c r="A63" s="205" t="s">
        <v>93</v>
      </c>
      <c r="B63" s="205"/>
      <c r="C63" s="102">
        <v>3.8</v>
      </c>
      <c r="D63" s="47">
        <f>ROUND(C63*2*4,2)</f>
        <v>30.4</v>
      </c>
    </row>
    <row r="64" spans="1:4" ht="15" customHeight="1" x14ac:dyDescent="0.35">
      <c r="A64" s="217" t="s">
        <v>48</v>
      </c>
      <c r="B64" s="217"/>
      <c r="C64" s="217"/>
      <c r="D64" s="29">
        <f>ROUND(SUM(D62:D63),2)</f>
        <v>110.4</v>
      </c>
    </row>
    <row r="65" spans="1:4" x14ac:dyDescent="0.35">
      <c r="A65" s="20"/>
      <c r="B65" s="20"/>
      <c r="C65" s="20"/>
      <c r="D65" s="7"/>
    </row>
    <row r="66" spans="1:4" ht="30" customHeight="1" x14ac:dyDescent="0.35">
      <c r="A66" s="198" t="s">
        <v>49</v>
      </c>
      <c r="B66" s="200"/>
      <c r="C66" s="199"/>
      <c r="D66" s="29">
        <f>ROUND(D58+D64,2)</f>
        <v>4526.09</v>
      </c>
    </row>
    <row r="67" spans="1:4" x14ac:dyDescent="0.35">
      <c r="A67" s="20"/>
      <c r="B67" s="20"/>
      <c r="C67" s="20"/>
      <c r="D67" s="7"/>
    </row>
    <row r="68" spans="1:4" x14ac:dyDescent="0.35">
      <c r="A68" s="202" t="s">
        <v>88</v>
      </c>
      <c r="B68" s="202"/>
      <c r="C68" s="202"/>
      <c r="D68" s="202"/>
    </row>
    <row r="69" spans="1:4" x14ac:dyDescent="0.35">
      <c r="A69" s="207" t="s">
        <v>50</v>
      </c>
      <c r="B69" s="208"/>
      <c r="C69" s="90" t="s">
        <v>6</v>
      </c>
      <c r="D69" s="90" t="s">
        <v>7</v>
      </c>
    </row>
    <row r="70" spans="1:4" s="1" customFormat="1" ht="30" customHeight="1" x14ac:dyDescent="0.3">
      <c r="A70" s="176" t="s">
        <v>51</v>
      </c>
      <c r="B70" s="178"/>
      <c r="C70" s="13">
        <v>0</v>
      </c>
      <c r="D70" s="18">
        <f>ROUND(D66*C70,2)</f>
        <v>0</v>
      </c>
    </row>
    <row r="71" spans="1:4" s="1" customFormat="1" ht="30" customHeight="1" x14ac:dyDescent="0.3">
      <c r="A71" s="196" t="s">
        <v>9</v>
      </c>
      <c r="B71" s="197"/>
      <c r="C71" s="41">
        <v>0</v>
      </c>
      <c r="D71" s="44">
        <f>ROUND(D66*C71,2)</f>
        <v>0</v>
      </c>
    </row>
    <row r="72" spans="1:4" x14ac:dyDescent="0.35">
      <c r="A72" s="198" t="s">
        <v>52</v>
      </c>
      <c r="B72" s="199"/>
      <c r="C72" s="31">
        <f>ROUND(SUM(C70:C71),5)</f>
        <v>0</v>
      </c>
      <c r="D72" s="29">
        <f>SUM(D70:D71)</f>
        <v>0</v>
      </c>
    </row>
    <row r="73" spans="1:4" x14ac:dyDescent="0.35">
      <c r="A73" s="20"/>
      <c r="B73" s="20"/>
      <c r="C73" s="6"/>
      <c r="D73" s="7"/>
    </row>
    <row r="74" spans="1:4" ht="30" customHeight="1" x14ac:dyDescent="0.35">
      <c r="A74" s="198" t="s">
        <v>73</v>
      </c>
      <c r="B74" s="200"/>
      <c r="C74" s="199"/>
      <c r="D74" s="29">
        <f>ROUND(D66+D72,2)</f>
        <v>4526.09</v>
      </c>
    </row>
    <row r="75" spans="1:4" x14ac:dyDescent="0.35">
      <c r="A75" s="20"/>
      <c r="B75" s="20"/>
      <c r="C75" s="20"/>
      <c r="D75" s="7"/>
    </row>
    <row r="76" spans="1:4" ht="35.25" customHeight="1" x14ac:dyDescent="0.35">
      <c r="A76" s="235" t="s">
        <v>63</v>
      </c>
      <c r="B76" s="235"/>
      <c r="C76" s="30">
        <f>ROUND(1-(SUM(C79:C81)/1),5)</f>
        <v>0.91349999999999998</v>
      </c>
      <c r="D76" s="29">
        <f>ROUND(D74/C76,2)</f>
        <v>4954.67</v>
      </c>
    </row>
    <row r="77" spans="1:4" x14ac:dyDescent="0.35">
      <c r="A77" s="3"/>
      <c r="B77" s="3"/>
      <c r="C77" s="3"/>
      <c r="D77" s="3"/>
    </row>
    <row r="78" spans="1:4" x14ac:dyDescent="0.35">
      <c r="A78" s="207" t="s">
        <v>53</v>
      </c>
      <c r="B78" s="208"/>
      <c r="C78" s="90" t="s">
        <v>6</v>
      </c>
      <c r="D78" s="90" t="s">
        <v>7</v>
      </c>
    </row>
    <row r="79" spans="1:4" ht="22" customHeight="1" x14ac:dyDescent="0.35">
      <c r="A79" s="176" t="s">
        <v>54</v>
      </c>
      <c r="B79" s="178"/>
      <c r="C79" s="13">
        <v>0.05</v>
      </c>
      <c r="D79" s="5">
        <f>ROUND($D$76*C79,2)</f>
        <v>247.73</v>
      </c>
    </row>
    <row r="80" spans="1:4" ht="22" customHeight="1" x14ac:dyDescent="0.35">
      <c r="A80" s="196" t="s">
        <v>55</v>
      </c>
      <c r="B80" s="197"/>
      <c r="C80" s="41">
        <v>0.03</v>
      </c>
      <c r="D80" s="42">
        <f>ROUND($D$76*C80,2)</f>
        <v>148.63999999999999</v>
      </c>
    </row>
    <row r="81" spans="1:4" ht="22" customHeight="1" x14ac:dyDescent="0.35">
      <c r="A81" s="176" t="s">
        <v>56</v>
      </c>
      <c r="B81" s="178"/>
      <c r="C81" s="13">
        <v>6.4999999999999997E-3</v>
      </c>
      <c r="D81" s="5">
        <f>ROUND($D$76*C81,2)</f>
        <v>32.21</v>
      </c>
    </row>
    <row r="82" spans="1:4" x14ac:dyDescent="0.35">
      <c r="A82" s="198" t="s">
        <v>57</v>
      </c>
      <c r="B82" s="199"/>
      <c r="C82" s="30">
        <f>ROUND(SUM(C79:C81),5)</f>
        <v>8.6499999999999994E-2</v>
      </c>
      <c r="D82" s="29">
        <f>ROUND(SUM(D79:D81),2)</f>
        <v>428.58</v>
      </c>
    </row>
    <row r="83" spans="1:4" ht="10" customHeight="1" x14ac:dyDescent="0.35">
      <c r="A83" s="3"/>
      <c r="B83" s="3"/>
      <c r="C83" s="3"/>
      <c r="D83" s="3"/>
    </row>
    <row r="84" spans="1:4" ht="25" customHeight="1" x14ac:dyDescent="0.35">
      <c r="A84" s="198" t="s">
        <v>58</v>
      </c>
      <c r="B84" s="200"/>
      <c r="C84" s="199"/>
      <c r="D84" s="29">
        <f>ROUND(D74+D82,2)</f>
        <v>4954.67</v>
      </c>
    </row>
    <row r="85" spans="1:4" ht="25" customHeight="1" x14ac:dyDescent="0.35">
      <c r="A85" s="198" t="s">
        <v>64</v>
      </c>
      <c r="B85" s="200"/>
      <c r="C85" s="199"/>
      <c r="D85" s="29">
        <f>ROUND(D84*12,2)</f>
        <v>59456.04</v>
      </c>
    </row>
    <row r="86" spans="1:4" ht="10" customHeight="1" x14ac:dyDescent="0.35">
      <c r="A86" s="20"/>
      <c r="B86" s="20"/>
      <c r="C86" s="20"/>
      <c r="D86" s="7"/>
    </row>
    <row r="87" spans="1:4" ht="15" customHeight="1" x14ac:dyDescent="0.35">
      <c r="A87" s="202" t="s">
        <v>285</v>
      </c>
      <c r="B87" s="202"/>
      <c r="C87" s="202"/>
      <c r="D87" s="202"/>
    </row>
    <row r="88" spans="1:4" ht="15" customHeight="1" x14ac:dyDescent="0.35">
      <c r="A88" s="252" t="s">
        <v>85</v>
      </c>
      <c r="B88" s="253"/>
      <c r="C88" s="254"/>
      <c r="D88" s="116">
        <f>ROUND(D84/220,2)</f>
        <v>22.52</v>
      </c>
    </row>
    <row r="89" spans="1:4" ht="15" customHeight="1" x14ac:dyDescent="0.35">
      <c r="A89" s="252" t="s">
        <v>86</v>
      </c>
      <c r="B89" s="253"/>
      <c r="C89" s="254"/>
      <c r="D89" s="19">
        <f>ROUND((D88*50%)+D88,2)</f>
        <v>33.78</v>
      </c>
    </row>
    <row r="90" spans="1:4" ht="15" customHeight="1" x14ac:dyDescent="0.35">
      <c r="A90" s="252" t="s">
        <v>87</v>
      </c>
      <c r="B90" s="253"/>
      <c r="C90" s="254"/>
      <c r="D90" s="19">
        <f>ROUND((D88*100%)+D88,2)</f>
        <v>45.04</v>
      </c>
    </row>
    <row r="91" spans="1:4" ht="10" customHeight="1" x14ac:dyDescent="0.35">
      <c r="A91" s="20"/>
      <c r="B91" s="20"/>
      <c r="C91" s="20"/>
      <c r="D91" s="7"/>
    </row>
    <row r="92" spans="1:4" ht="15" customHeight="1" x14ac:dyDescent="0.35">
      <c r="A92" s="202" t="s">
        <v>59</v>
      </c>
      <c r="B92" s="202"/>
      <c r="C92" s="202"/>
      <c r="D92" s="27" t="s">
        <v>6</v>
      </c>
    </row>
    <row r="93" spans="1:4" ht="15" customHeight="1" x14ac:dyDescent="0.35">
      <c r="A93" s="201" t="s">
        <v>74</v>
      </c>
      <c r="B93" s="201"/>
      <c r="C93" s="201"/>
      <c r="D93" s="17">
        <f>C25</f>
        <v>0.39800000000000002</v>
      </c>
    </row>
    <row r="94" spans="1:4" ht="15" customHeight="1" x14ac:dyDescent="0.35">
      <c r="A94" s="203" t="s">
        <v>29</v>
      </c>
      <c r="B94" s="203"/>
      <c r="C94" s="203"/>
      <c r="D94" s="43">
        <f>C37</f>
        <v>0.23483000000000001</v>
      </c>
    </row>
    <row r="95" spans="1:4" ht="15" customHeight="1" x14ac:dyDescent="0.35">
      <c r="A95" s="201" t="s">
        <v>34</v>
      </c>
      <c r="B95" s="201"/>
      <c r="C95" s="201"/>
      <c r="D95" s="17">
        <f>C43</f>
        <v>3.7839999999999999E-2</v>
      </c>
    </row>
    <row r="96" spans="1:4" ht="15" customHeight="1" x14ac:dyDescent="0.35">
      <c r="A96" s="203" t="s">
        <v>37</v>
      </c>
      <c r="B96" s="203"/>
      <c r="C96" s="203"/>
      <c r="D96" s="43">
        <f>C47</f>
        <v>9.3460000000000001E-2</v>
      </c>
    </row>
    <row r="97" spans="1:4" ht="15" customHeight="1" x14ac:dyDescent="0.35">
      <c r="A97" s="201" t="s">
        <v>40</v>
      </c>
      <c r="B97" s="201"/>
      <c r="C97" s="201"/>
      <c r="D97" s="17">
        <f>C51</f>
        <v>3.3E-4</v>
      </c>
    </row>
    <row r="98" spans="1:4" ht="15" customHeight="1" x14ac:dyDescent="0.35">
      <c r="A98" s="203" t="s">
        <v>43</v>
      </c>
      <c r="B98" s="203"/>
      <c r="C98" s="203"/>
      <c r="D98" s="43">
        <f>C55</f>
        <v>2.8700000000000002E-3</v>
      </c>
    </row>
    <row r="99" spans="1:4" ht="15" customHeight="1" x14ac:dyDescent="0.35">
      <c r="A99" s="236" t="s">
        <v>75</v>
      </c>
      <c r="B99" s="236"/>
      <c r="C99" s="236"/>
      <c r="D99" s="28">
        <f>ROUND(SUM(D93:D98),5)</f>
        <v>0.76732999999999996</v>
      </c>
    </row>
    <row r="100" spans="1:4" ht="10" customHeight="1" x14ac:dyDescent="0.35"/>
    <row r="101" spans="1:4" x14ac:dyDescent="0.35">
      <c r="A101" s="207" t="s">
        <v>268</v>
      </c>
      <c r="B101" s="208"/>
      <c r="C101" s="90" t="s">
        <v>269</v>
      </c>
      <c r="D101" s="27" t="s">
        <v>6</v>
      </c>
    </row>
    <row r="102" spans="1:4" x14ac:dyDescent="0.35">
      <c r="A102" s="212" t="s">
        <v>270</v>
      </c>
      <c r="B102" s="213"/>
      <c r="C102" s="110">
        <f>D13</f>
        <v>2498.52</v>
      </c>
      <c r="D102" s="17">
        <f>ROUND(C102/$C$106,5)</f>
        <v>0.50427999999999995</v>
      </c>
    </row>
    <row r="103" spans="1:4" ht="24.5" customHeight="1" x14ac:dyDescent="0.35">
      <c r="A103" s="229" t="s">
        <v>271</v>
      </c>
      <c r="B103" s="230"/>
      <c r="C103" s="111">
        <f>D56</f>
        <v>1917.17</v>
      </c>
      <c r="D103" s="43">
        <f>ROUND(C103/$C$106,5)</f>
        <v>0.38694000000000001</v>
      </c>
    </row>
    <row r="104" spans="1:4" x14ac:dyDescent="0.35">
      <c r="A104" s="212" t="s">
        <v>272</v>
      </c>
      <c r="B104" s="213"/>
      <c r="C104" s="110">
        <f>D64</f>
        <v>110.4</v>
      </c>
      <c r="D104" s="17">
        <f>ROUND(C104/$C$106,5)</f>
        <v>2.2280000000000001E-2</v>
      </c>
    </row>
    <row r="105" spans="1:4" x14ac:dyDescent="0.35">
      <c r="A105" s="229" t="s">
        <v>273</v>
      </c>
      <c r="B105" s="230"/>
      <c r="C105" s="111">
        <f>ROUND(D72+D82,2)</f>
        <v>428.58</v>
      </c>
      <c r="D105" s="43">
        <f>ROUND(C105/$C$106,5)</f>
        <v>8.6499999999999994E-2</v>
      </c>
    </row>
    <row r="106" spans="1:4" x14ac:dyDescent="0.35">
      <c r="A106" s="231" t="s">
        <v>274</v>
      </c>
      <c r="B106" s="232"/>
      <c r="C106" s="112">
        <f>ROUND(SUM(C102:C105),2)</f>
        <v>4954.67</v>
      </c>
      <c r="D106" s="30">
        <f>ROUND(SUM(D102:D105),5)</f>
        <v>1</v>
      </c>
    </row>
  </sheetData>
  <mergeCells count="88">
    <mergeCell ref="A101:B101"/>
    <mergeCell ref="A95:C95"/>
    <mergeCell ref="A96:C96"/>
    <mergeCell ref="A97:C97"/>
    <mergeCell ref="A98:C98"/>
    <mergeCell ref="A99:C99"/>
    <mergeCell ref="A102:B102"/>
    <mergeCell ref="A103:B103"/>
    <mergeCell ref="A104:B104"/>
    <mergeCell ref="A105:B105"/>
    <mergeCell ref="A106:B106"/>
    <mergeCell ref="A85:C85"/>
    <mergeCell ref="A92:C92"/>
    <mergeCell ref="A93:C93"/>
    <mergeCell ref="A94:C94"/>
    <mergeCell ref="A87:D87"/>
    <mergeCell ref="A88:C88"/>
    <mergeCell ref="A89:C89"/>
    <mergeCell ref="A90:C90"/>
    <mergeCell ref="A79:B79"/>
    <mergeCell ref="A80:B80"/>
    <mergeCell ref="A81:B81"/>
    <mergeCell ref="A82:B82"/>
    <mergeCell ref="A84:C84"/>
    <mergeCell ref="A71:B71"/>
    <mergeCell ref="A72:B72"/>
    <mergeCell ref="A74:C74"/>
    <mergeCell ref="A76:B76"/>
    <mergeCell ref="A78:B78"/>
    <mergeCell ref="A58:C58"/>
    <mergeCell ref="A66:C66"/>
    <mergeCell ref="A68:D68"/>
    <mergeCell ref="A69:B69"/>
    <mergeCell ref="A70:B70"/>
    <mergeCell ref="A64:C64"/>
    <mergeCell ref="A60:D60"/>
    <mergeCell ref="A61:B61"/>
    <mergeCell ref="A62:B62"/>
    <mergeCell ref="A63:B63"/>
    <mergeCell ref="A51:B51"/>
    <mergeCell ref="A53:B53"/>
    <mergeCell ref="A54:B54"/>
    <mergeCell ref="A55:B55"/>
    <mergeCell ref="A56:B56"/>
    <mergeCell ref="A49:B49"/>
    <mergeCell ref="A50:B50"/>
    <mergeCell ref="A40:B40"/>
    <mergeCell ref="A41:B41"/>
    <mergeCell ref="A42:B42"/>
    <mergeCell ref="A43:B43"/>
    <mergeCell ref="A45:B45"/>
    <mergeCell ref="A31:B31"/>
    <mergeCell ref="A32:B32"/>
    <mergeCell ref="A33:B33"/>
    <mergeCell ref="A46:B46"/>
    <mergeCell ref="A47:B47"/>
    <mergeCell ref="A34:B34"/>
    <mergeCell ref="A35:B35"/>
    <mergeCell ref="A36:B36"/>
    <mergeCell ref="A37:B37"/>
    <mergeCell ref="A39:B39"/>
    <mergeCell ref="A25:B25"/>
    <mergeCell ref="A27:B27"/>
    <mergeCell ref="A28:B28"/>
    <mergeCell ref="A29:B29"/>
    <mergeCell ref="A30:B30"/>
    <mergeCell ref="A23:B23"/>
    <mergeCell ref="A24:B24"/>
    <mergeCell ref="A13:C13"/>
    <mergeCell ref="A15:D15"/>
    <mergeCell ref="A16:B16"/>
    <mergeCell ref="A17:B17"/>
    <mergeCell ref="A18:B18"/>
    <mergeCell ref="B6:D6"/>
    <mergeCell ref="A19:B19"/>
    <mergeCell ref="A20:B20"/>
    <mergeCell ref="A21:B21"/>
    <mergeCell ref="A22:B22"/>
    <mergeCell ref="A8:D8"/>
    <mergeCell ref="A9:D9"/>
    <mergeCell ref="A10:B10"/>
    <mergeCell ref="A11:B11"/>
    <mergeCell ref="A12:B12"/>
    <mergeCell ref="A1:D1"/>
    <mergeCell ref="B2:D2"/>
    <mergeCell ref="B3:D3"/>
    <mergeCell ref="B4:D4"/>
    <mergeCell ref="B5:D5"/>
  </mergeCells>
  <pageMargins left="0.23622047244094491" right="0.23622047244094491" top="1.3385826771653544" bottom="0.74803149606299213" header="0.9055118110236221" footer="0.31496062992125984"/>
  <pageSetup fitToHeight="0" orientation="landscape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CBFAB-2AFC-4181-BDE1-AC7973A5F770}">
  <sheetPr codeName="Planilha29">
    <pageSetUpPr fitToPage="1"/>
  </sheetPr>
  <dimension ref="A1:D106"/>
  <sheetViews>
    <sheetView view="pageBreakPreview" zoomScaleNormal="100" zoomScaleSheetLayoutView="100" workbookViewId="0">
      <selection activeCell="I6" sqref="I6"/>
    </sheetView>
  </sheetViews>
  <sheetFormatPr defaultRowHeight="14.5" x14ac:dyDescent="0.35"/>
  <cols>
    <col min="1" max="1" width="33.453125" customWidth="1"/>
    <col min="2" max="2" width="14.54296875" customWidth="1"/>
    <col min="3" max="3" width="10.81640625" customWidth="1"/>
    <col min="4" max="4" width="12.26953125" customWidth="1"/>
  </cols>
  <sheetData>
    <row r="1" spans="1:4" ht="24.5" customHeight="1" x14ac:dyDescent="0.35">
      <c r="A1" s="218" t="s">
        <v>284</v>
      </c>
      <c r="B1" s="218"/>
      <c r="C1" s="218"/>
      <c r="D1" s="218"/>
    </row>
    <row r="2" spans="1:4" ht="30.5" customHeight="1" x14ac:dyDescent="0.35">
      <c r="A2" s="23" t="s">
        <v>2</v>
      </c>
      <c r="B2" s="214" t="str">
        <f>'Quantidade de Cargo'!A16</f>
        <v>Técnico de Suporte I</v>
      </c>
      <c r="C2" s="215"/>
      <c r="D2" s="216"/>
    </row>
    <row r="3" spans="1:4" ht="15" customHeight="1" x14ac:dyDescent="0.35">
      <c r="A3" s="23" t="s">
        <v>61</v>
      </c>
      <c r="B3" s="219" t="str">
        <f>'Salario Base'!B16</f>
        <v>2624-10</v>
      </c>
      <c r="C3" s="220"/>
      <c r="D3" s="221"/>
    </row>
    <row r="4" spans="1:4" ht="15" customHeight="1" x14ac:dyDescent="0.35">
      <c r="A4" s="24" t="s">
        <v>1</v>
      </c>
      <c r="B4" s="214" t="s">
        <v>143</v>
      </c>
      <c r="C4" s="215"/>
      <c r="D4" s="216"/>
    </row>
    <row r="5" spans="1:4" ht="26" x14ac:dyDescent="0.35">
      <c r="A5" s="24" t="s">
        <v>3</v>
      </c>
      <c r="B5" s="222">
        <v>1</v>
      </c>
      <c r="C5" s="220"/>
      <c r="D5" s="221"/>
    </row>
    <row r="6" spans="1:4" ht="65.5" customHeight="1" x14ac:dyDescent="0.35">
      <c r="A6" s="24" t="s">
        <v>62</v>
      </c>
      <c r="B6" s="214" t="s">
        <v>217</v>
      </c>
      <c r="C6" s="215"/>
      <c r="D6" s="216"/>
    </row>
    <row r="7" spans="1:4" ht="15" customHeight="1" x14ac:dyDescent="0.35">
      <c r="A7" s="2"/>
      <c r="B7" s="16"/>
      <c r="C7" s="3"/>
      <c r="D7" s="3"/>
    </row>
    <row r="8" spans="1:4" x14ac:dyDescent="0.35">
      <c r="A8" s="223" t="s">
        <v>4</v>
      </c>
      <c r="B8" s="223"/>
      <c r="C8" s="223"/>
      <c r="D8" s="223"/>
    </row>
    <row r="9" spans="1:4" x14ac:dyDescent="0.35">
      <c r="A9" s="224" t="s">
        <v>70</v>
      </c>
      <c r="B9" s="225"/>
      <c r="C9" s="225"/>
      <c r="D9" s="226"/>
    </row>
    <row r="10" spans="1:4" x14ac:dyDescent="0.35">
      <c r="A10" s="227" t="s">
        <v>5</v>
      </c>
      <c r="B10" s="228"/>
      <c r="C10" s="90" t="s">
        <v>6</v>
      </c>
      <c r="D10" s="90" t="s">
        <v>7</v>
      </c>
    </row>
    <row r="11" spans="1:4" ht="40.5" customHeight="1" x14ac:dyDescent="0.35">
      <c r="A11" s="176" t="s">
        <v>8</v>
      </c>
      <c r="B11" s="178"/>
      <c r="C11" s="91" t="s">
        <v>60</v>
      </c>
      <c r="D11" s="4">
        <f>'Salario Base'!D19</f>
        <v>2832.23</v>
      </c>
    </row>
    <row r="12" spans="1:4" ht="15" customHeight="1" x14ac:dyDescent="0.35">
      <c r="A12" s="229" t="s">
        <v>66</v>
      </c>
      <c r="B12" s="230"/>
      <c r="C12" s="53"/>
      <c r="D12" s="42">
        <f>C12*D11/100</f>
        <v>0</v>
      </c>
    </row>
    <row r="13" spans="1:4" x14ac:dyDescent="0.35">
      <c r="A13" s="217" t="s">
        <v>20</v>
      </c>
      <c r="B13" s="217"/>
      <c r="C13" s="217"/>
      <c r="D13" s="29">
        <f>ROUND(SUM(D11:D12),2)</f>
        <v>2832.23</v>
      </c>
    </row>
    <row r="14" spans="1:4" x14ac:dyDescent="0.35">
      <c r="A14" s="3"/>
      <c r="B14" s="3"/>
      <c r="C14" s="3"/>
      <c r="D14" s="3"/>
    </row>
    <row r="15" spans="1:4" x14ac:dyDescent="0.35">
      <c r="A15" s="202" t="s">
        <v>71</v>
      </c>
      <c r="B15" s="202"/>
      <c r="C15" s="202"/>
      <c r="D15" s="202"/>
    </row>
    <row r="16" spans="1:4" x14ac:dyDescent="0.35">
      <c r="A16" s="202" t="s">
        <v>10</v>
      </c>
      <c r="B16" s="202"/>
      <c r="C16" s="90" t="s">
        <v>6</v>
      </c>
      <c r="D16" s="90" t="s">
        <v>7</v>
      </c>
    </row>
    <row r="17" spans="1:4" x14ac:dyDescent="0.35">
      <c r="A17" s="176" t="s">
        <v>11</v>
      </c>
      <c r="B17" s="178"/>
      <c r="C17" s="11">
        <v>0.2</v>
      </c>
      <c r="D17" s="5">
        <f>ROUND($D$13*C17,2)</f>
        <v>566.45000000000005</v>
      </c>
    </row>
    <row r="18" spans="1:4" x14ac:dyDescent="0.35">
      <c r="A18" s="196" t="s">
        <v>12</v>
      </c>
      <c r="B18" s="197"/>
      <c r="C18" s="52">
        <v>0.08</v>
      </c>
      <c r="D18" s="42">
        <f t="shared" ref="D18:D24" si="0">ROUND($D$13*C18,2)</f>
        <v>226.58</v>
      </c>
    </row>
    <row r="19" spans="1:4" x14ac:dyDescent="0.35">
      <c r="A19" s="176" t="s">
        <v>13</v>
      </c>
      <c r="B19" s="178"/>
      <c r="C19" s="11">
        <v>1.4999999999999999E-2</v>
      </c>
      <c r="D19" s="5">
        <f t="shared" si="0"/>
        <v>42.48</v>
      </c>
    </row>
    <row r="20" spans="1:4" ht="25.5" customHeight="1" x14ac:dyDescent="0.35">
      <c r="A20" s="196" t="s">
        <v>14</v>
      </c>
      <c r="B20" s="197"/>
      <c r="C20" s="52">
        <v>0.01</v>
      </c>
      <c r="D20" s="42">
        <f t="shared" si="0"/>
        <v>28.32</v>
      </c>
    </row>
    <row r="21" spans="1:4" ht="28.5" customHeight="1" x14ac:dyDescent="0.35">
      <c r="A21" s="176" t="s">
        <v>15</v>
      </c>
      <c r="B21" s="178"/>
      <c r="C21" s="11">
        <v>2E-3</v>
      </c>
      <c r="D21" s="5">
        <f t="shared" si="0"/>
        <v>5.66</v>
      </c>
    </row>
    <row r="22" spans="1:4" x14ac:dyDescent="0.35">
      <c r="A22" s="196" t="s">
        <v>16</v>
      </c>
      <c r="B22" s="197"/>
      <c r="C22" s="52">
        <v>6.0000000000000001E-3</v>
      </c>
      <c r="D22" s="42">
        <f t="shared" si="0"/>
        <v>16.989999999999998</v>
      </c>
    </row>
    <row r="23" spans="1:4" x14ac:dyDescent="0.35">
      <c r="A23" s="212" t="s">
        <v>17</v>
      </c>
      <c r="B23" s="213"/>
      <c r="C23" s="11">
        <v>2.5000000000000001E-2</v>
      </c>
      <c r="D23" s="5">
        <f t="shared" si="0"/>
        <v>70.81</v>
      </c>
    </row>
    <row r="24" spans="1:4" ht="39.75" customHeight="1" x14ac:dyDescent="0.35">
      <c r="A24" s="229" t="s">
        <v>18</v>
      </c>
      <c r="B24" s="230"/>
      <c r="C24" s="50">
        <v>0.04</v>
      </c>
      <c r="D24" s="42">
        <f t="shared" si="0"/>
        <v>113.29</v>
      </c>
    </row>
    <row r="25" spans="1:4" x14ac:dyDescent="0.35">
      <c r="A25" s="198" t="s">
        <v>19</v>
      </c>
      <c r="B25" s="199"/>
      <c r="C25" s="30">
        <f>ROUND(SUM(C17:C24),5)</f>
        <v>0.378</v>
      </c>
      <c r="D25" s="29">
        <f>ROUND(SUM(D17:D24),2)</f>
        <v>1070.58</v>
      </c>
    </row>
    <row r="26" spans="1:4" x14ac:dyDescent="0.35">
      <c r="A26" s="20"/>
      <c r="B26" s="20"/>
      <c r="C26" s="6"/>
      <c r="D26" s="7"/>
    </row>
    <row r="27" spans="1:4" x14ac:dyDescent="0.35">
      <c r="A27" s="202" t="s">
        <v>21</v>
      </c>
      <c r="B27" s="202"/>
      <c r="C27" s="90" t="s">
        <v>6</v>
      </c>
      <c r="D27" s="90" t="s">
        <v>7</v>
      </c>
    </row>
    <row r="28" spans="1:4" ht="25" customHeight="1" x14ac:dyDescent="0.35">
      <c r="A28" s="212" t="s">
        <v>22</v>
      </c>
      <c r="B28" s="213"/>
      <c r="C28" s="9">
        <f>ROUND(1/12,5)</f>
        <v>8.3330000000000001E-2</v>
      </c>
      <c r="D28" s="5">
        <f>ROUND($D$13*C28,2)</f>
        <v>236.01</v>
      </c>
    </row>
    <row r="29" spans="1:4" ht="25" customHeight="1" x14ac:dyDescent="0.35">
      <c r="A29" s="196" t="s">
        <v>263</v>
      </c>
      <c r="B29" s="197"/>
      <c r="C29" s="51">
        <f>ROUND((1/3)/12,5)</f>
        <v>2.7779999999999999E-2</v>
      </c>
      <c r="D29" s="42">
        <f t="shared" ref="D29:D36" si="1">ROUND($D$13*C29,2)</f>
        <v>78.680000000000007</v>
      </c>
    </row>
    <row r="30" spans="1:4" ht="25" customHeight="1" x14ac:dyDescent="0.35">
      <c r="A30" s="176" t="s">
        <v>23</v>
      </c>
      <c r="B30" s="178"/>
      <c r="C30" s="10">
        <f>ROUND((((100% / 30) * 7) / 12),5)</f>
        <v>1.9439999999999999E-2</v>
      </c>
      <c r="D30" s="5">
        <f t="shared" si="1"/>
        <v>55.06</v>
      </c>
    </row>
    <row r="31" spans="1:4" ht="25" customHeight="1" x14ac:dyDescent="0.35">
      <c r="A31" s="196" t="s">
        <v>24</v>
      </c>
      <c r="B31" s="197"/>
      <c r="C31" s="51">
        <f>ROUND((5/30)/12,5)</f>
        <v>1.389E-2</v>
      </c>
      <c r="D31" s="42">
        <f t="shared" si="1"/>
        <v>39.340000000000003</v>
      </c>
    </row>
    <row r="32" spans="1:4" ht="25" customHeight="1" x14ac:dyDescent="0.35">
      <c r="A32" s="176" t="s">
        <v>25</v>
      </c>
      <c r="B32" s="178"/>
      <c r="C32" s="10">
        <f>ROUND(((15/30/12)*0.08),5)</f>
        <v>3.3300000000000001E-3</v>
      </c>
      <c r="D32" s="5">
        <f t="shared" si="1"/>
        <v>9.43</v>
      </c>
    </row>
    <row r="33" spans="1:4" ht="25" customHeight="1" x14ac:dyDescent="0.35">
      <c r="A33" s="196" t="s">
        <v>26</v>
      </c>
      <c r="B33" s="197"/>
      <c r="C33" s="51">
        <f>ROUND((1/30)/12,5)</f>
        <v>2.7799999999999999E-3</v>
      </c>
      <c r="D33" s="42">
        <f t="shared" si="1"/>
        <v>7.87</v>
      </c>
    </row>
    <row r="34" spans="1:4" ht="25" customHeight="1" x14ac:dyDescent="0.35">
      <c r="A34" s="176" t="s">
        <v>27</v>
      </c>
      <c r="B34" s="178"/>
      <c r="C34" s="10">
        <f>ROUND(0.1111*0.02*0.333,5)</f>
        <v>7.3999999999999999E-4</v>
      </c>
      <c r="D34" s="5">
        <f t="shared" si="1"/>
        <v>2.1</v>
      </c>
    </row>
    <row r="35" spans="1:4" ht="25" customHeight="1" x14ac:dyDescent="0.35">
      <c r="A35" s="196" t="s">
        <v>28</v>
      </c>
      <c r="B35" s="197"/>
      <c r="C35" s="51">
        <f>ROUND(((5/30)/12)*0.015,5)</f>
        <v>2.1000000000000001E-4</v>
      </c>
      <c r="D35" s="42">
        <f t="shared" si="1"/>
        <v>0.59</v>
      </c>
    </row>
    <row r="36" spans="1:4" ht="25" customHeight="1" x14ac:dyDescent="0.35">
      <c r="A36" s="176" t="s">
        <v>264</v>
      </c>
      <c r="B36" s="178"/>
      <c r="C36" s="10">
        <f>ROUND(1/12,5)</f>
        <v>8.3330000000000001E-2</v>
      </c>
      <c r="D36" s="5">
        <f t="shared" si="1"/>
        <v>236.01</v>
      </c>
    </row>
    <row r="37" spans="1:4" x14ac:dyDescent="0.35">
      <c r="A37" s="198" t="s">
        <v>29</v>
      </c>
      <c r="B37" s="199"/>
      <c r="C37" s="30">
        <f>ROUND(SUM(C28:C36),5)</f>
        <v>0.23483000000000001</v>
      </c>
      <c r="D37" s="29">
        <f>ROUND(SUM(D28:D36),2)</f>
        <v>665.09</v>
      </c>
    </row>
    <row r="38" spans="1:4" x14ac:dyDescent="0.35">
      <c r="A38" s="20"/>
      <c r="B38" s="20"/>
      <c r="C38" s="8"/>
      <c r="D38" s="7"/>
    </row>
    <row r="39" spans="1:4" x14ac:dyDescent="0.35">
      <c r="A39" s="207" t="s">
        <v>30</v>
      </c>
      <c r="B39" s="208"/>
      <c r="C39" s="90" t="s">
        <v>6</v>
      </c>
      <c r="D39" s="90" t="s">
        <v>7</v>
      </c>
    </row>
    <row r="40" spans="1:4" ht="25" customHeight="1" x14ac:dyDescent="0.35">
      <c r="A40" s="210" t="s">
        <v>31</v>
      </c>
      <c r="B40" s="211"/>
      <c r="C40" s="12">
        <f>ROUND(1/12*5%,5)</f>
        <v>4.1700000000000001E-3</v>
      </c>
      <c r="D40" s="54">
        <f>ROUND($D$13*C40,2)</f>
        <v>11.81</v>
      </c>
    </row>
    <row r="41" spans="1:4" ht="25" customHeight="1" x14ac:dyDescent="0.35">
      <c r="A41" s="196" t="s">
        <v>32</v>
      </c>
      <c r="B41" s="197"/>
      <c r="C41" s="50">
        <f>ROUND(0.02*(1/12),5)</f>
        <v>1.67E-3</v>
      </c>
      <c r="D41" s="42">
        <f>ROUND($D$13*C41,2)</f>
        <v>4.7300000000000004</v>
      </c>
    </row>
    <row r="42" spans="1:4" ht="25" customHeight="1" x14ac:dyDescent="0.35">
      <c r="A42" s="210" t="s">
        <v>33</v>
      </c>
      <c r="B42" s="211"/>
      <c r="C42" s="15">
        <f>ROUND(40%*8%,5)</f>
        <v>3.2000000000000001E-2</v>
      </c>
      <c r="D42" s="54">
        <f>ROUND($D$13*C42,2)</f>
        <v>90.63</v>
      </c>
    </row>
    <row r="43" spans="1:4" x14ac:dyDescent="0.35">
      <c r="A43" s="198" t="s">
        <v>34</v>
      </c>
      <c r="B43" s="199"/>
      <c r="C43" s="30">
        <f>ROUND(SUM(C40:C42),5)</f>
        <v>3.7839999999999999E-2</v>
      </c>
      <c r="D43" s="29">
        <f>ROUND(SUM(D40:D42),2)</f>
        <v>107.17</v>
      </c>
    </row>
    <row r="44" spans="1:4" x14ac:dyDescent="0.35">
      <c r="A44" s="20"/>
      <c r="B44" s="20"/>
      <c r="C44" s="8"/>
      <c r="D44" s="7"/>
    </row>
    <row r="45" spans="1:4" x14ac:dyDescent="0.35">
      <c r="A45" s="207" t="s">
        <v>35</v>
      </c>
      <c r="B45" s="208"/>
      <c r="C45" s="90" t="s">
        <v>6</v>
      </c>
      <c r="D45" s="90" t="s">
        <v>7</v>
      </c>
    </row>
    <row r="46" spans="1:4" ht="29" customHeight="1" x14ac:dyDescent="0.35">
      <c r="A46" s="176" t="s">
        <v>36</v>
      </c>
      <c r="B46" s="178"/>
      <c r="C46" s="14">
        <f>ROUND(C25*C37,5)</f>
        <v>8.8770000000000002E-2</v>
      </c>
      <c r="D46" s="5">
        <f>ROUND($D$13*C46,2)</f>
        <v>251.42</v>
      </c>
    </row>
    <row r="47" spans="1:4" x14ac:dyDescent="0.35">
      <c r="A47" s="198" t="s">
        <v>37</v>
      </c>
      <c r="B47" s="199"/>
      <c r="C47" s="30">
        <f>ROUND(SUM(C46),5)</f>
        <v>8.8770000000000002E-2</v>
      </c>
      <c r="D47" s="29">
        <f>ROUND(SUM(D46),2)</f>
        <v>251.42</v>
      </c>
    </row>
    <row r="48" spans="1:4" x14ac:dyDescent="0.35">
      <c r="A48" s="20"/>
      <c r="B48" s="20"/>
      <c r="C48" s="8"/>
      <c r="D48" s="7"/>
    </row>
    <row r="49" spans="1:4" x14ac:dyDescent="0.35">
      <c r="A49" s="207" t="s">
        <v>38</v>
      </c>
      <c r="B49" s="208"/>
      <c r="C49" s="90" t="s">
        <v>6</v>
      </c>
      <c r="D49" s="90" t="s">
        <v>7</v>
      </c>
    </row>
    <row r="50" spans="1:4" ht="65.5" customHeight="1" x14ac:dyDescent="0.35">
      <c r="A50" s="176" t="s">
        <v>39</v>
      </c>
      <c r="B50" s="178"/>
      <c r="C50" s="15">
        <f>ROUND(8%*C40,5)</f>
        <v>3.3E-4</v>
      </c>
      <c r="D50" s="5">
        <f>ROUND($D$13*C50,2)</f>
        <v>0.93</v>
      </c>
    </row>
    <row r="51" spans="1:4" x14ac:dyDescent="0.35">
      <c r="A51" s="198" t="s">
        <v>40</v>
      </c>
      <c r="B51" s="199"/>
      <c r="C51" s="30">
        <f>ROUND(SUM(C50:C50),5)</f>
        <v>3.3E-4</v>
      </c>
      <c r="D51" s="29">
        <f>ROUND(SUM(D50:D50),2)</f>
        <v>0.93</v>
      </c>
    </row>
    <row r="52" spans="1:4" x14ac:dyDescent="0.35">
      <c r="A52" s="20"/>
      <c r="B52" s="20"/>
      <c r="C52" s="8"/>
      <c r="D52" s="7"/>
    </row>
    <row r="53" spans="1:4" x14ac:dyDescent="0.35">
      <c r="A53" s="207" t="s">
        <v>41</v>
      </c>
      <c r="B53" s="208"/>
      <c r="C53" s="90" t="s">
        <v>6</v>
      </c>
      <c r="D53" s="90" t="s">
        <v>7</v>
      </c>
    </row>
    <row r="54" spans="1:4" ht="106.5" customHeight="1" x14ac:dyDescent="0.35">
      <c r="A54" s="176" t="s">
        <v>42</v>
      </c>
      <c r="B54" s="178"/>
      <c r="C54" s="14">
        <f>ROUND(C25*(13/12)*(4/12)*2/100,5)</f>
        <v>2.7299999999999998E-3</v>
      </c>
      <c r="D54" s="5">
        <f>ROUND($D$13*C54,2)</f>
        <v>7.73</v>
      </c>
    </row>
    <row r="55" spans="1:4" x14ac:dyDescent="0.35">
      <c r="A55" s="198" t="s">
        <v>43</v>
      </c>
      <c r="B55" s="199"/>
      <c r="C55" s="30">
        <f>ROUND(SUM(C54),5)</f>
        <v>2.7299999999999998E-3</v>
      </c>
      <c r="D55" s="29">
        <f>ROUND(SUM(D54),2)</f>
        <v>7.73</v>
      </c>
    </row>
    <row r="56" spans="1:4" x14ac:dyDescent="0.35">
      <c r="A56" s="198" t="s">
        <v>44</v>
      </c>
      <c r="B56" s="199"/>
      <c r="C56" s="30">
        <f>ROUND(C25+C37+C43+C47+C51+C55,5)</f>
        <v>0.74250000000000005</v>
      </c>
      <c r="D56" s="29">
        <f>ROUND(D25+D37+D43+D47+D51+D55,2)</f>
        <v>2102.92</v>
      </c>
    </row>
    <row r="57" spans="1:4" ht="15" customHeight="1" x14ac:dyDescent="0.35">
      <c r="A57" s="20"/>
      <c r="B57" s="20"/>
      <c r="C57" s="8"/>
      <c r="D57" s="7"/>
    </row>
    <row r="58" spans="1:4" ht="15" customHeight="1" x14ac:dyDescent="0.35">
      <c r="A58" s="198" t="s">
        <v>45</v>
      </c>
      <c r="B58" s="200"/>
      <c r="C58" s="199"/>
      <c r="D58" s="29">
        <f>D13+D56</f>
        <v>4935.1499999999996</v>
      </c>
    </row>
    <row r="59" spans="1:4" ht="15" customHeight="1" x14ac:dyDescent="0.35">
      <c r="A59" s="3"/>
      <c r="B59" s="3"/>
      <c r="C59" s="3"/>
      <c r="D59" s="3"/>
    </row>
    <row r="60" spans="1:4" ht="15" customHeight="1" x14ac:dyDescent="0.35">
      <c r="A60" s="202" t="s">
        <v>72</v>
      </c>
      <c r="B60" s="202"/>
      <c r="C60" s="202"/>
      <c r="D60" s="202"/>
    </row>
    <row r="61" spans="1:4" x14ac:dyDescent="0.35">
      <c r="A61" s="202" t="s">
        <v>46</v>
      </c>
      <c r="B61" s="202"/>
      <c r="C61" s="90" t="s">
        <v>218</v>
      </c>
      <c r="D61" s="92" t="s">
        <v>7</v>
      </c>
    </row>
    <row r="62" spans="1:4" ht="96" customHeight="1" x14ac:dyDescent="0.35">
      <c r="A62" s="206" t="s">
        <v>91</v>
      </c>
      <c r="B62" s="206"/>
      <c r="C62" s="33">
        <v>15</v>
      </c>
      <c r="D62" s="33">
        <f>ROUND(C62*4,2)</f>
        <v>60</v>
      </c>
    </row>
    <row r="63" spans="1:4" ht="102.5" customHeight="1" x14ac:dyDescent="0.35">
      <c r="A63" s="205" t="s">
        <v>93</v>
      </c>
      <c r="B63" s="205"/>
      <c r="C63" s="102">
        <v>3.8</v>
      </c>
      <c r="D63" s="47">
        <f>ROUND(C63*2*4,2)</f>
        <v>30.4</v>
      </c>
    </row>
    <row r="64" spans="1:4" ht="15" customHeight="1" x14ac:dyDescent="0.35">
      <c r="A64" s="217" t="s">
        <v>48</v>
      </c>
      <c r="B64" s="217"/>
      <c r="C64" s="217"/>
      <c r="D64" s="29">
        <f>ROUND(SUM(D62:D63),2)</f>
        <v>90.4</v>
      </c>
    </row>
    <row r="65" spans="1:4" x14ac:dyDescent="0.35">
      <c r="A65" s="20"/>
      <c r="B65" s="20"/>
      <c r="C65" s="20"/>
      <c r="D65" s="7"/>
    </row>
    <row r="66" spans="1:4" ht="30" customHeight="1" x14ac:dyDescent="0.35">
      <c r="A66" s="198" t="s">
        <v>49</v>
      </c>
      <c r="B66" s="200"/>
      <c r="C66" s="199"/>
      <c r="D66" s="29">
        <f>ROUND(D58+D64,2)</f>
        <v>5025.55</v>
      </c>
    </row>
    <row r="67" spans="1:4" x14ac:dyDescent="0.35">
      <c r="A67" s="20"/>
      <c r="B67" s="20"/>
      <c r="C67" s="20"/>
      <c r="D67" s="7"/>
    </row>
    <row r="68" spans="1:4" x14ac:dyDescent="0.35">
      <c r="A68" s="202" t="s">
        <v>88</v>
      </c>
      <c r="B68" s="202"/>
      <c r="C68" s="202"/>
      <c r="D68" s="202"/>
    </row>
    <row r="69" spans="1:4" x14ac:dyDescent="0.35">
      <c r="A69" s="207" t="s">
        <v>50</v>
      </c>
      <c r="B69" s="208"/>
      <c r="C69" s="90" t="s">
        <v>6</v>
      </c>
      <c r="D69" s="90" t="s">
        <v>7</v>
      </c>
    </row>
    <row r="70" spans="1:4" s="1" customFormat="1" ht="30" customHeight="1" x14ac:dyDescent="0.3">
      <c r="A70" s="176" t="s">
        <v>51</v>
      </c>
      <c r="B70" s="178"/>
      <c r="C70" s="13">
        <v>0</v>
      </c>
      <c r="D70" s="18">
        <f>ROUND(D66*C70,2)</f>
        <v>0</v>
      </c>
    </row>
    <row r="71" spans="1:4" s="1" customFormat="1" ht="30" customHeight="1" x14ac:dyDescent="0.3">
      <c r="A71" s="196" t="s">
        <v>9</v>
      </c>
      <c r="B71" s="197"/>
      <c r="C71" s="41">
        <v>0</v>
      </c>
      <c r="D71" s="44">
        <f>ROUND(D66*C71,2)</f>
        <v>0</v>
      </c>
    </row>
    <row r="72" spans="1:4" x14ac:dyDescent="0.35">
      <c r="A72" s="198" t="s">
        <v>52</v>
      </c>
      <c r="B72" s="199"/>
      <c r="C72" s="31">
        <f>ROUND(SUM(C70:C71),5)</f>
        <v>0</v>
      </c>
      <c r="D72" s="29">
        <f>SUM(D70:D71)</f>
        <v>0</v>
      </c>
    </row>
    <row r="73" spans="1:4" x14ac:dyDescent="0.35">
      <c r="A73" s="20"/>
      <c r="B73" s="20"/>
      <c r="C73" s="6"/>
      <c r="D73" s="7"/>
    </row>
    <row r="74" spans="1:4" ht="30" customHeight="1" x14ac:dyDescent="0.35">
      <c r="A74" s="198" t="s">
        <v>73</v>
      </c>
      <c r="B74" s="200"/>
      <c r="C74" s="199"/>
      <c r="D74" s="29">
        <f>ROUND(D66+D72,2)</f>
        <v>5025.55</v>
      </c>
    </row>
    <row r="75" spans="1:4" x14ac:dyDescent="0.35">
      <c r="A75" s="20"/>
      <c r="B75" s="20"/>
      <c r="C75" s="20"/>
      <c r="D75" s="7"/>
    </row>
    <row r="76" spans="1:4" ht="35.25" customHeight="1" x14ac:dyDescent="0.35">
      <c r="A76" s="235" t="s">
        <v>63</v>
      </c>
      <c r="B76" s="235"/>
      <c r="C76" s="30">
        <f>ROUND(1-(SUM(C79:C81)/1),5)</f>
        <v>0.91349999999999998</v>
      </c>
      <c r="D76" s="29">
        <f>ROUND(D74/C76,2)</f>
        <v>5501.42</v>
      </c>
    </row>
    <row r="77" spans="1:4" x14ac:dyDescent="0.35">
      <c r="A77" s="3"/>
      <c r="B77" s="3"/>
      <c r="C77" s="3"/>
      <c r="D77" s="3"/>
    </row>
    <row r="78" spans="1:4" x14ac:dyDescent="0.35">
      <c r="A78" s="207" t="s">
        <v>53</v>
      </c>
      <c r="B78" s="208"/>
      <c r="C78" s="90" t="s">
        <v>6</v>
      </c>
      <c r="D78" s="90" t="s">
        <v>7</v>
      </c>
    </row>
    <row r="79" spans="1:4" ht="22" customHeight="1" x14ac:dyDescent="0.35">
      <c r="A79" s="176" t="s">
        <v>54</v>
      </c>
      <c r="B79" s="178"/>
      <c r="C79" s="13">
        <v>0.05</v>
      </c>
      <c r="D79" s="5">
        <f>ROUND($D$76*C79,2)</f>
        <v>275.07</v>
      </c>
    </row>
    <row r="80" spans="1:4" ht="22" customHeight="1" x14ac:dyDescent="0.35">
      <c r="A80" s="196" t="s">
        <v>55</v>
      </c>
      <c r="B80" s="197"/>
      <c r="C80" s="41">
        <v>0.03</v>
      </c>
      <c r="D80" s="42">
        <f>ROUND($D$76*C80,2)</f>
        <v>165.04</v>
      </c>
    </row>
    <row r="81" spans="1:4" ht="22" customHeight="1" x14ac:dyDescent="0.35">
      <c r="A81" s="176" t="s">
        <v>56</v>
      </c>
      <c r="B81" s="178"/>
      <c r="C81" s="13">
        <v>6.4999999999999997E-3</v>
      </c>
      <c r="D81" s="5">
        <f>ROUND($D$76*C81,2)</f>
        <v>35.76</v>
      </c>
    </row>
    <row r="82" spans="1:4" x14ac:dyDescent="0.35">
      <c r="A82" s="198" t="s">
        <v>57</v>
      </c>
      <c r="B82" s="199"/>
      <c r="C82" s="30">
        <f>ROUND(SUM(C79:C81),5)</f>
        <v>8.6499999999999994E-2</v>
      </c>
      <c r="D82" s="29">
        <f>ROUND(SUM(D79:D81),2)</f>
        <v>475.87</v>
      </c>
    </row>
    <row r="83" spans="1:4" ht="10" customHeight="1" x14ac:dyDescent="0.35">
      <c r="A83" s="3"/>
      <c r="B83" s="3"/>
      <c r="C83" s="3"/>
      <c r="D83" s="3"/>
    </row>
    <row r="84" spans="1:4" ht="25" customHeight="1" x14ac:dyDescent="0.35">
      <c r="A84" s="198" t="s">
        <v>58</v>
      </c>
      <c r="B84" s="200"/>
      <c r="C84" s="199"/>
      <c r="D84" s="29">
        <f>ROUND(D74+D82,2)</f>
        <v>5501.42</v>
      </c>
    </row>
    <row r="85" spans="1:4" ht="25" customHeight="1" x14ac:dyDescent="0.35">
      <c r="A85" s="198" t="s">
        <v>64</v>
      </c>
      <c r="B85" s="200"/>
      <c r="C85" s="199"/>
      <c r="D85" s="29">
        <f>ROUND(D84*12,2)</f>
        <v>66017.039999999994</v>
      </c>
    </row>
    <row r="86" spans="1:4" ht="10" customHeight="1" x14ac:dyDescent="0.35">
      <c r="A86" s="20"/>
      <c r="B86" s="20"/>
      <c r="C86" s="20"/>
      <c r="D86" s="7"/>
    </row>
    <row r="87" spans="1:4" ht="15" customHeight="1" x14ac:dyDescent="0.35">
      <c r="A87" s="202" t="s">
        <v>285</v>
      </c>
      <c r="B87" s="202"/>
      <c r="C87" s="202"/>
      <c r="D87" s="202"/>
    </row>
    <row r="88" spans="1:4" ht="15" customHeight="1" x14ac:dyDescent="0.35">
      <c r="A88" s="252" t="s">
        <v>85</v>
      </c>
      <c r="B88" s="253"/>
      <c r="C88" s="254"/>
      <c r="D88" s="116">
        <f>ROUND(D84/220,2)</f>
        <v>25.01</v>
      </c>
    </row>
    <row r="89" spans="1:4" ht="15" customHeight="1" x14ac:dyDescent="0.35">
      <c r="A89" s="252" t="s">
        <v>86</v>
      </c>
      <c r="B89" s="253"/>
      <c r="C89" s="254"/>
      <c r="D89" s="19">
        <f>ROUND((D88*50%)+D88,2)</f>
        <v>37.520000000000003</v>
      </c>
    </row>
    <row r="90" spans="1:4" ht="15" customHeight="1" x14ac:dyDescent="0.35">
      <c r="A90" s="252" t="s">
        <v>87</v>
      </c>
      <c r="B90" s="253"/>
      <c r="C90" s="254"/>
      <c r="D90" s="19">
        <f>ROUND((D88*100%)+D88,2)</f>
        <v>50.02</v>
      </c>
    </row>
    <row r="91" spans="1:4" ht="10" customHeight="1" x14ac:dyDescent="0.35">
      <c r="A91" s="20"/>
      <c r="B91" s="20"/>
      <c r="C91" s="20"/>
      <c r="D91" s="7"/>
    </row>
    <row r="92" spans="1:4" ht="15" customHeight="1" x14ac:dyDescent="0.35">
      <c r="A92" s="202" t="s">
        <v>59</v>
      </c>
      <c r="B92" s="202"/>
      <c r="C92" s="202"/>
      <c r="D92" s="27" t="s">
        <v>6</v>
      </c>
    </row>
    <row r="93" spans="1:4" ht="15" customHeight="1" x14ac:dyDescent="0.35">
      <c r="A93" s="201" t="s">
        <v>74</v>
      </c>
      <c r="B93" s="201"/>
      <c r="C93" s="201"/>
      <c r="D93" s="17">
        <f>C25</f>
        <v>0.378</v>
      </c>
    </row>
    <row r="94" spans="1:4" ht="15" customHeight="1" x14ac:dyDescent="0.35">
      <c r="A94" s="203" t="s">
        <v>29</v>
      </c>
      <c r="B94" s="203"/>
      <c r="C94" s="203"/>
      <c r="D94" s="43">
        <f>C37</f>
        <v>0.23483000000000001</v>
      </c>
    </row>
    <row r="95" spans="1:4" ht="15" customHeight="1" x14ac:dyDescent="0.35">
      <c r="A95" s="201" t="s">
        <v>34</v>
      </c>
      <c r="B95" s="201"/>
      <c r="C95" s="201"/>
      <c r="D95" s="17">
        <f>C43</f>
        <v>3.7839999999999999E-2</v>
      </c>
    </row>
    <row r="96" spans="1:4" ht="15" customHeight="1" x14ac:dyDescent="0.35">
      <c r="A96" s="203" t="s">
        <v>37</v>
      </c>
      <c r="B96" s="203"/>
      <c r="C96" s="203"/>
      <c r="D96" s="43">
        <f>C47</f>
        <v>8.8770000000000002E-2</v>
      </c>
    </row>
    <row r="97" spans="1:4" ht="15" customHeight="1" x14ac:dyDescent="0.35">
      <c r="A97" s="201" t="s">
        <v>40</v>
      </c>
      <c r="B97" s="201"/>
      <c r="C97" s="201"/>
      <c r="D97" s="17">
        <f>C51</f>
        <v>3.3E-4</v>
      </c>
    </row>
    <row r="98" spans="1:4" ht="15" customHeight="1" x14ac:dyDescent="0.35">
      <c r="A98" s="203" t="s">
        <v>43</v>
      </c>
      <c r="B98" s="203"/>
      <c r="C98" s="203"/>
      <c r="D98" s="43">
        <f>C55</f>
        <v>2.7299999999999998E-3</v>
      </c>
    </row>
    <row r="99" spans="1:4" ht="15" customHeight="1" x14ac:dyDescent="0.35">
      <c r="A99" s="236" t="s">
        <v>75</v>
      </c>
      <c r="B99" s="236"/>
      <c r="C99" s="236"/>
      <c r="D99" s="28">
        <f>ROUND(SUM(D93:D98),5)</f>
        <v>0.74250000000000005</v>
      </c>
    </row>
    <row r="100" spans="1:4" ht="10" customHeight="1" x14ac:dyDescent="0.35"/>
    <row r="101" spans="1:4" x14ac:dyDescent="0.35">
      <c r="A101" s="207" t="s">
        <v>268</v>
      </c>
      <c r="B101" s="208"/>
      <c r="C101" s="90" t="s">
        <v>269</v>
      </c>
      <c r="D101" s="27" t="s">
        <v>6</v>
      </c>
    </row>
    <row r="102" spans="1:4" x14ac:dyDescent="0.35">
      <c r="A102" s="212" t="s">
        <v>270</v>
      </c>
      <c r="B102" s="213"/>
      <c r="C102" s="110">
        <f>D13</f>
        <v>2832.23</v>
      </c>
      <c r="D102" s="17">
        <f>ROUND(C102/$C$106,5)</f>
        <v>0.51482000000000006</v>
      </c>
    </row>
    <row r="103" spans="1:4" ht="24.5" customHeight="1" x14ac:dyDescent="0.35">
      <c r="A103" s="229" t="s">
        <v>271</v>
      </c>
      <c r="B103" s="230"/>
      <c r="C103" s="111">
        <f>D56</f>
        <v>2102.92</v>
      </c>
      <c r="D103" s="43">
        <f>ROUND(C103/$C$106,5)</f>
        <v>0.38224999999999998</v>
      </c>
    </row>
    <row r="104" spans="1:4" x14ac:dyDescent="0.35">
      <c r="A104" s="212" t="s">
        <v>272</v>
      </c>
      <c r="B104" s="213"/>
      <c r="C104" s="110">
        <f>D64</f>
        <v>90.4</v>
      </c>
      <c r="D104" s="17">
        <f>ROUND(C104/$C$106,5)</f>
        <v>1.643E-2</v>
      </c>
    </row>
    <row r="105" spans="1:4" x14ac:dyDescent="0.35">
      <c r="A105" s="229" t="s">
        <v>273</v>
      </c>
      <c r="B105" s="230"/>
      <c r="C105" s="111">
        <f>ROUND(D72+D82,2)</f>
        <v>475.87</v>
      </c>
      <c r="D105" s="43">
        <f>ROUND(C105/$C$106,5)</f>
        <v>8.6499999999999994E-2</v>
      </c>
    </row>
    <row r="106" spans="1:4" x14ac:dyDescent="0.35">
      <c r="A106" s="231" t="s">
        <v>274</v>
      </c>
      <c r="B106" s="232"/>
      <c r="C106" s="112">
        <f>ROUND(SUM(C102:C105),2)</f>
        <v>5501.42</v>
      </c>
      <c r="D106" s="30">
        <f>ROUND(SUM(D102:D105),5)</f>
        <v>1</v>
      </c>
    </row>
  </sheetData>
  <mergeCells count="88">
    <mergeCell ref="A101:B101"/>
    <mergeCell ref="A95:C95"/>
    <mergeCell ref="A96:C96"/>
    <mergeCell ref="A97:C97"/>
    <mergeCell ref="A98:C98"/>
    <mergeCell ref="A99:C99"/>
    <mergeCell ref="A102:B102"/>
    <mergeCell ref="A103:B103"/>
    <mergeCell ref="A104:B104"/>
    <mergeCell ref="A105:B105"/>
    <mergeCell ref="A106:B106"/>
    <mergeCell ref="A94:C94"/>
    <mergeCell ref="A72:B72"/>
    <mergeCell ref="A74:C74"/>
    <mergeCell ref="A76:B76"/>
    <mergeCell ref="A78:B78"/>
    <mergeCell ref="A87:D87"/>
    <mergeCell ref="A88:C88"/>
    <mergeCell ref="A89:C89"/>
    <mergeCell ref="A90:C90"/>
    <mergeCell ref="A82:B82"/>
    <mergeCell ref="A84:C84"/>
    <mergeCell ref="A85:C85"/>
    <mergeCell ref="A92:C92"/>
    <mergeCell ref="A93:C93"/>
    <mergeCell ref="A58:C58"/>
    <mergeCell ref="A79:B79"/>
    <mergeCell ref="A80:B80"/>
    <mergeCell ref="A81:B81"/>
    <mergeCell ref="A66:C66"/>
    <mergeCell ref="A68:D68"/>
    <mergeCell ref="A69:B69"/>
    <mergeCell ref="A70:B70"/>
    <mergeCell ref="A71:B71"/>
    <mergeCell ref="A64:C64"/>
    <mergeCell ref="A60:D60"/>
    <mergeCell ref="A61:B61"/>
    <mergeCell ref="A62:B62"/>
    <mergeCell ref="A63:B63"/>
    <mergeCell ref="A51:B51"/>
    <mergeCell ref="A53:B53"/>
    <mergeCell ref="A54:B54"/>
    <mergeCell ref="A55:B55"/>
    <mergeCell ref="A56:B56"/>
    <mergeCell ref="A49:B49"/>
    <mergeCell ref="A50:B50"/>
    <mergeCell ref="A40:B40"/>
    <mergeCell ref="A41:B41"/>
    <mergeCell ref="A42:B42"/>
    <mergeCell ref="A43:B43"/>
    <mergeCell ref="A45:B45"/>
    <mergeCell ref="A31:B31"/>
    <mergeCell ref="A32:B32"/>
    <mergeCell ref="A33:B33"/>
    <mergeCell ref="A46:B46"/>
    <mergeCell ref="A47:B47"/>
    <mergeCell ref="A34:B34"/>
    <mergeCell ref="A35:B35"/>
    <mergeCell ref="A36:B36"/>
    <mergeCell ref="A37:B37"/>
    <mergeCell ref="A39:B39"/>
    <mergeCell ref="A25:B25"/>
    <mergeCell ref="A27:B27"/>
    <mergeCell ref="A28:B28"/>
    <mergeCell ref="A29:B29"/>
    <mergeCell ref="A30:B30"/>
    <mergeCell ref="A23:B23"/>
    <mergeCell ref="A24:B24"/>
    <mergeCell ref="A13:C13"/>
    <mergeCell ref="A15:D15"/>
    <mergeCell ref="A16:B16"/>
    <mergeCell ref="A17:B17"/>
    <mergeCell ref="A18:B18"/>
    <mergeCell ref="B6:D6"/>
    <mergeCell ref="A19:B19"/>
    <mergeCell ref="A20:B20"/>
    <mergeCell ref="A21:B21"/>
    <mergeCell ref="A22:B22"/>
    <mergeCell ref="A8:D8"/>
    <mergeCell ref="A9:D9"/>
    <mergeCell ref="A10:B10"/>
    <mergeCell ref="A11:B11"/>
    <mergeCell ref="A12:B12"/>
    <mergeCell ref="A1:D1"/>
    <mergeCell ref="B2:D2"/>
    <mergeCell ref="B3:D3"/>
    <mergeCell ref="B4:D4"/>
    <mergeCell ref="B5:D5"/>
  </mergeCells>
  <pageMargins left="0.23622047244094491" right="0.23622047244094491" top="1.3385826771653544" bottom="0.74803149606299213" header="0.9055118110236221" footer="0.31496062992125984"/>
  <pageSetup fitToHeight="0" orientation="landscape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5F9FB-18E2-44E1-9212-57643C3EE57F}">
  <sheetPr codeName="Planilha30">
    <pageSetUpPr fitToPage="1"/>
  </sheetPr>
  <dimension ref="A1:D106"/>
  <sheetViews>
    <sheetView view="pageBreakPreview" zoomScaleNormal="100" zoomScaleSheetLayoutView="100" workbookViewId="0">
      <selection activeCell="C72" sqref="C72"/>
    </sheetView>
  </sheetViews>
  <sheetFormatPr defaultRowHeight="14.5" x14ac:dyDescent="0.35"/>
  <cols>
    <col min="1" max="1" width="33.453125" customWidth="1"/>
    <col min="2" max="2" width="14.54296875" customWidth="1"/>
    <col min="3" max="3" width="10.81640625" customWidth="1"/>
    <col min="4" max="4" width="12.26953125" customWidth="1"/>
  </cols>
  <sheetData>
    <row r="1" spans="1:4" ht="28" customHeight="1" x14ac:dyDescent="0.35">
      <c r="A1" s="218" t="s">
        <v>284</v>
      </c>
      <c r="B1" s="218"/>
      <c r="C1" s="218"/>
      <c r="D1" s="218"/>
    </row>
    <row r="2" spans="1:4" ht="30.5" customHeight="1" x14ac:dyDescent="0.35">
      <c r="A2" s="23" t="s">
        <v>2</v>
      </c>
      <c r="B2" s="214" t="str">
        <f>'Quantidade de Cargo'!A17</f>
        <v>Técnico de Suporte II</v>
      </c>
      <c r="C2" s="215"/>
      <c r="D2" s="216"/>
    </row>
    <row r="3" spans="1:4" ht="15" customHeight="1" x14ac:dyDescent="0.35">
      <c r="A3" s="23" t="s">
        <v>61</v>
      </c>
      <c r="B3" s="219" t="str">
        <f>'Salario Base'!B17</f>
        <v>7823-05</v>
      </c>
      <c r="C3" s="220"/>
      <c r="D3" s="221"/>
    </row>
    <row r="4" spans="1:4" ht="15" customHeight="1" x14ac:dyDescent="0.35">
      <c r="A4" s="24" t="s">
        <v>1</v>
      </c>
      <c r="B4" s="214" t="s">
        <v>143</v>
      </c>
      <c r="C4" s="215"/>
      <c r="D4" s="216"/>
    </row>
    <row r="5" spans="1:4" ht="26" x14ac:dyDescent="0.35">
      <c r="A5" s="24" t="s">
        <v>3</v>
      </c>
      <c r="B5" s="222">
        <v>1</v>
      </c>
      <c r="C5" s="220"/>
      <c r="D5" s="221"/>
    </row>
    <row r="6" spans="1:4" ht="65.5" customHeight="1" x14ac:dyDescent="0.35">
      <c r="A6" s="24" t="s">
        <v>62</v>
      </c>
      <c r="B6" s="214" t="s">
        <v>217</v>
      </c>
      <c r="C6" s="215"/>
      <c r="D6" s="216"/>
    </row>
    <row r="7" spans="1:4" ht="15" customHeight="1" x14ac:dyDescent="0.35">
      <c r="A7" s="2"/>
      <c r="B7" s="16"/>
      <c r="C7" s="3"/>
      <c r="D7" s="3"/>
    </row>
    <row r="8" spans="1:4" x14ac:dyDescent="0.35">
      <c r="A8" s="223" t="s">
        <v>4</v>
      </c>
      <c r="B8" s="223"/>
      <c r="C8" s="223"/>
      <c r="D8" s="223"/>
    </row>
    <row r="9" spans="1:4" x14ac:dyDescent="0.35">
      <c r="A9" s="224" t="s">
        <v>70</v>
      </c>
      <c r="B9" s="225"/>
      <c r="C9" s="225"/>
      <c r="D9" s="226"/>
    </row>
    <row r="10" spans="1:4" x14ac:dyDescent="0.35">
      <c r="A10" s="227" t="s">
        <v>5</v>
      </c>
      <c r="B10" s="228"/>
      <c r="C10" s="90" t="s">
        <v>6</v>
      </c>
      <c r="D10" s="90" t="s">
        <v>7</v>
      </c>
    </row>
    <row r="11" spans="1:4" ht="40.5" customHeight="1" x14ac:dyDescent="0.35">
      <c r="A11" s="176" t="s">
        <v>8</v>
      </c>
      <c r="B11" s="178"/>
      <c r="C11" s="91" t="s">
        <v>60</v>
      </c>
      <c r="D11" s="4">
        <f>'Salario Base'!D20</f>
        <v>3525.62</v>
      </c>
    </row>
    <row r="12" spans="1:4" ht="15" customHeight="1" x14ac:dyDescent="0.35">
      <c r="A12" s="229" t="s">
        <v>66</v>
      </c>
      <c r="B12" s="230"/>
      <c r="C12" s="53"/>
      <c r="D12" s="42">
        <f>C12*D11/100</f>
        <v>0</v>
      </c>
    </row>
    <row r="13" spans="1:4" x14ac:dyDescent="0.35">
      <c r="A13" s="217" t="s">
        <v>20</v>
      </c>
      <c r="B13" s="217"/>
      <c r="C13" s="217"/>
      <c r="D13" s="29">
        <f>ROUND(SUM(D11:D12),2)</f>
        <v>3525.62</v>
      </c>
    </row>
    <row r="14" spans="1:4" x14ac:dyDescent="0.35">
      <c r="A14" s="3"/>
      <c r="B14" s="3"/>
      <c r="C14" s="3"/>
      <c r="D14" s="3"/>
    </row>
    <row r="15" spans="1:4" x14ac:dyDescent="0.35">
      <c r="A15" s="202" t="s">
        <v>71</v>
      </c>
      <c r="B15" s="202"/>
      <c r="C15" s="202"/>
      <c r="D15" s="202"/>
    </row>
    <row r="16" spans="1:4" x14ac:dyDescent="0.35">
      <c r="A16" s="202" t="s">
        <v>10</v>
      </c>
      <c r="B16" s="202"/>
      <c r="C16" s="90" t="s">
        <v>6</v>
      </c>
      <c r="D16" s="90" t="s">
        <v>7</v>
      </c>
    </row>
    <row r="17" spans="1:4" x14ac:dyDescent="0.35">
      <c r="A17" s="176" t="s">
        <v>11</v>
      </c>
      <c r="B17" s="178"/>
      <c r="C17" s="11">
        <v>0.2</v>
      </c>
      <c r="D17" s="5">
        <f>ROUND($D$13*C17,2)</f>
        <v>705.12</v>
      </c>
    </row>
    <row r="18" spans="1:4" x14ac:dyDescent="0.35">
      <c r="A18" s="196" t="s">
        <v>12</v>
      </c>
      <c r="B18" s="197"/>
      <c r="C18" s="52">
        <v>0.08</v>
      </c>
      <c r="D18" s="42">
        <f t="shared" ref="D18:D24" si="0">ROUND($D$13*C18,2)</f>
        <v>282.05</v>
      </c>
    </row>
    <row r="19" spans="1:4" x14ac:dyDescent="0.35">
      <c r="A19" s="176" t="s">
        <v>13</v>
      </c>
      <c r="B19" s="178"/>
      <c r="C19" s="11">
        <v>1.4999999999999999E-2</v>
      </c>
      <c r="D19" s="5">
        <f t="shared" si="0"/>
        <v>52.88</v>
      </c>
    </row>
    <row r="20" spans="1:4" ht="25.5" customHeight="1" x14ac:dyDescent="0.35">
      <c r="A20" s="196" t="s">
        <v>14</v>
      </c>
      <c r="B20" s="197"/>
      <c r="C20" s="52">
        <v>0.01</v>
      </c>
      <c r="D20" s="42">
        <f t="shared" si="0"/>
        <v>35.26</v>
      </c>
    </row>
    <row r="21" spans="1:4" ht="28.5" customHeight="1" x14ac:dyDescent="0.35">
      <c r="A21" s="176" t="s">
        <v>15</v>
      </c>
      <c r="B21" s="178"/>
      <c r="C21" s="11">
        <v>2E-3</v>
      </c>
      <c r="D21" s="5">
        <f t="shared" si="0"/>
        <v>7.05</v>
      </c>
    </row>
    <row r="22" spans="1:4" x14ac:dyDescent="0.35">
      <c r="A22" s="196" t="s">
        <v>16</v>
      </c>
      <c r="B22" s="197"/>
      <c r="C22" s="52">
        <v>6.0000000000000001E-3</v>
      </c>
      <c r="D22" s="42">
        <f t="shared" si="0"/>
        <v>21.15</v>
      </c>
    </row>
    <row r="23" spans="1:4" x14ac:dyDescent="0.35">
      <c r="A23" s="212" t="s">
        <v>17</v>
      </c>
      <c r="B23" s="213"/>
      <c r="C23" s="11">
        <v>2.5000000000000001E-2</v>
      </c>
      <c r="D23" s="5">
        <f t="shared" si="0"/>
        <v>88.14</v>
      </c>
    </row>
    <row r="24" spans="1:4" ht="39.75" customHeight="1" x14ac:dyDescent="0.35">
      <c r="A24" s="229" t="s">
        <v>18</v>
      </c>
      <c r="B24" s="230"/>
      <c r="C24" s="50">
        <v>0.04</v>
      </c>
      <c r="D24" s="42">
        <f t="shared" si="0"/>
        <v>141.02000000000001</v>
      </c>
    </row>
    <row r="25" spans="1:4" x14ac:dyDescent="0.35">
      <c r="A25" s="198" t="s">
        <v>19</v>
      </c>
      <c r="B25" s="199"/>
      <c r="C25" s="30">
        <f>ROUND(SUM(C17:C24),5)</f>
        <v>0.378</v>
      </c>
      <c r="D25" s="29">
        <f>ROUND(SUM(D17:D24),2)</f>
        <v>1332.67</v>
      </c>
    </row>
    <row r="26" spans="1:4" x14ac:dyDescent="0.35">
      <c r="A26" s="20"/>
      <c r="B26" s="20"/>
      <c r="C26" s="6"/>
      <c r="D26" s="7"/>
    </row>
    <row r="27" spans="1:4" x14ac:dyDescent="0.35">
      <c r="A27" s="202" t="s">
        <v>21</v>
      </c>
      <c r="B27" s="202"/>
      <c r="C27" s="90" t="s">
        <v>6</v>
      </c>
      <c r="D27" s="90" t="s">
        <v>7</v>
      </c>
    </row>
    <row r="28" spans="1:4" ht="25" customHeight="1" x14ac:dyDescent="0.35">
      <c r="A28" s="212" t="s">
        <v>22</v>
      </c>
      <c r="B28" s="213"/>
      <c r="C28" s="9">
        <f>ROUND(1/12,5)</f>
        <v>8.3330000000000001E-2</v>
      </c>
      <c r="D28" s="5">
        <f>ROUND($D$13*C28,2)</f>
        <v>293.79000000000002</v>
      </c>
    </row>
    <row r="29" spans="1:4" ht="25" customHeight="1" x14ac:dyDescent="0.35">
      <c r="A29" s="196" t="s">
        <v>263</v>
      </c>
      <c r="B29" s="197"/>
      <c r="C29" s="51">
        <f>ROUND((1/3)/12,5)</f>
        <v>2.7779999999999999E-2</v>
      </c>
      <c r="D29" s="42">
        <f t="shared" ref="D29:D36" si="1">ROUND($D$13*C29,2)</f>
        <v>97.94</v>
      </c>
    </row>
    <row r="30" spans="1:4" ht="25" customHeight="1" x14ac:dyDescent="0.35">
      <c r="A30" s="176" t="s">
        <v>23</v>
      </c>
      <c r="B30" s="178"/>
      <c r="C30" s="10">
        <f>ROUND((((100% / 30) * 7) / 12),5)</f>
        <v>1.9439999999999999E-2</v>
      </c>
      <c r="D30" s="5">
        <f t="shared" si="1"/>
        <v>68.540000000000006</v>
      </c>
    </row>
    <row r="31" spans="1:4" ht="25" customHeight="1" x14ac:dyDescent="0.35">
      <c r="A31" s="196" t="s">
        <v>24</v>
      </c>
      <c r="B31" s="197"/>
      <c r="C31" s="51">
        <f>ROUND((5/30)/12,5)</f>
        <v>1.389E-2</v>
      </c>
      <c r="D31" s="42">
        <f t="shared" si="1"/>
        <v>48.97</v>
      </c>
    </row>
    <row r="32" spans="1:4" ht="25" customHeight="1" x14ac:dyDescent="0.35">
      <c r="A32" s="176" t="s">
        <v>25</v>
      </c>
      <c r="B32" s="178"/>
      <c r="C32" s="10">
        <f>ROUND(((15/30/12)*0.08),5)</f>
        <v>3.3300000000000001E-3</v>
      </c>
      <c r="D32" s="5">
        <f t="shared" si="1"/>
        <v>11.74</v>
      </c>
    </row>
    <row r="33" spans="1:4" ht="25" customHeight="1" x14ac:dyDescent="0.35">
      <c r="A33" s="196" t="s">
        <v>26</v>
      </c>
      <c r="B33" s="197"/>
      <c r="C33" s="51">
        <f>ROUND((1/30)/12,5)</f>
        <v>2.7799999999999999E-3</v>
      </c>
      <c r="D33" s="42">
        <f t="shared" si="1"/>
        <v>9.8000000000000007</v>
      </c>
    </row>
    <row r="34" spans="1:4" ht="25" customHeight="1" x14ac:dyDescent="0.35">
      <c r="A34" s="176" t="s">
        <v>27</v>
      </c>
      <c r="B34" s="178"/>
      <c r="C34" s="10">
        <f>ROUND(0.1111*0.02*0.333,5)</f>
        <v>7.3999999999999999E-4</v>
      </c>
      <c r="D34" s="5">
        <f t="shared" si="1"/>
        <v>2.61</v>
      </c>
    </row>
    <row r="35" spans="1:4" ht="25" customHeight="1" x14ac:dyDescent="0.35">
      <c r="A35" s="196" t="s">
        <v>28</v>
      </c>
      <c r="B35" s="197"/>
      <c r="C35" s="51">
        <f>ROUND(((5/30)/12)*0.015,5)</f>
        <v>2.1000000000000001E-4</v>
      </c>
      <c r="D35" s="42">
        <f t="shared" si="1"/>
        <v>0.74</v>
      </c>
    </row>
    <row r="36" spans="1:4" ht="25" customHeight="1" x14ac:dyDescent="0.35">
      <c r="A36" s="176" t="s">
        <v>264</v>
      </c>
      <c r="B36" s="178"/>
      <c r="C36" s="10">
        <f>ROUND(1/12,5)</f>
        <v>8.3330000000000001E-2</v>
      </c>
      <c r="D36" s="5">
        <f t="shared" si="1"/>
        <v>293.79000000000002</v>
      </c>
    </row>
    <row r="37" spans="1:4" x14ac:dyDescent="0.35">
      <c r="A37" s="198" t="s">
        <v>29</v>
      </c>
      <c r="B37" s="199"/>
      <c r="C37" s="30">
        <f>ROUND(SUM(C28:C36),5)</f>
        <v>0.23483000000000001</v>
      </c>
      <c r="D37" s="29">
        <f>ROUND(SUM(D28:D36),2)</f>
        <v>827.92</v>
      </c>
    </row>
    <row r="38" spans="1:4" x14ac:dyDescent="0.35">
      <c r="A38" s="20"/>
      <c r="B38" s="20"/>
      <c r="C38" s="8"/>
      <c r="D38" s="7"/>
    </row>
    <row r="39" spans="1:4" x14ac:dyDescent="0.35">
      <c r="A39" s="207" t="s">
        <v>30</v>
      </c>
      <c r="B39" s="208"/>
      <c r="C39" s="90" t="s">
        <v>6</v>
      </c>
      <c r="D39" s="90" t="s">
        <v>7</v>
      </c>
    </row>
    <row r="40" spans="1:4" ht="25" customHeight="1" x14ac:dyDescent="0.35">
      <c r="A40" s="210" t="s">
        <v>31</v>
      </c>
      <c r="B40" s="211"/>
      <c r="C40" s="12">
        <f>ROUND(1/12*5%,5)</f>
        <v>4.1700000000000001E-3</v>
      </c>
      <c r="D40" s="54">
        <f>ROUND($D$13*C40,2)</f>
        <v>14.7</v>
      </c>
    </row>
    <row r="41" spans="1:4" ht="25" customHeight="1" x14ac:dyDescent="0.35">
      <c r="A41" s="196" t="s">
        <v>32</v>
      </c>
      <c r="B41" s="197"/>
      <c r="C41" s="50">
        <f>ROUND(0.02*(1/12),5)</f>
        <v>1.67E-3</v>
      </c>
      <c r="D41" s="42">
        <f>ROUND($D$13*C41,2)</f>
        <v>5.89</v>
      </c>
    </row>
    <row r="42" spans="1:4" ht="25" customHeight="1" x14ac:dyDescent="0.35">
      <c r="A42" s="210" t="s">
        <v>33</v>
      </c>
      <c r="B42" s="211"/>
      <c r="C42" s="15">
        <f>ROUND(40%*8%,5)</f>
        <v>3.2000000000000001E-2</v>
      </c>
      <c r="D42" s="54">
        <f>ROUND($D$13*C42,2)</f>
        <v>112.82</v>
      </c>
    </row>
    <row r="43" spans="1:4" x14ac:dyDescent="0.35">
      <c r="A43" s="198" t="s">
        <v>34</v>
      </c>
      <c r="B43" s="199"/>
      <c r="C43" s="30">
        <f>ROUND(SUM(C40:C42),5)</f>
        <v>3.7839999999999999E-2</v>
      </c>
      <c r="D43" s="29">
        <f>ROUND(SUM(D40:D42),2)</f>
        <v>133.41</v>
      </c>
    </row>
    <row r="44" spans="1:4" x14ac:dyDescent="0.35">
      <c r="A44" s="20"/>
      <c r="B44" s="20"/>
      <c r="C44" s="8"/>
      <c r="D44" s="7"/>
    </row>
    <row r="45" spans="1:4" x14ac:dyDescent="0.35">
      <c r="A45" s="207" t="s">
        <v>35</v>
      </c>
      <c r="B45" s="208"/>
      <c r="C45" s="90" t="s">
        <v>6</v>
      </c>
      <c r="D45" s="90" t="s">
        <v>7</v>
      </c>
    </row>
    <row r="46" spans="1:4" ht="29" customHeight="1" x14ac:dyDescent="0.35">
      <c r="A46" s="176" t="s">
        <v>36</v>
      </c>
      <c r="B46" s="178"/>
      <c r="C46" s="14">
        <f>ROUND(C25*C37,5)</f>
        <v>8.8770000000000002E-2</v>
      </c>
      <c r="D46" s="5">
        <f>ROUND($D$13*C46,2)</f>
        <v>312.97000000000003</v>
      </c>
    </row>
    <row r="47" spans="1:4" x14ac:dyDescent="0.35">
      <c r="A47" s="198" t="s">
        <v>37</v>
      </c>
      <c r="B47" s="199"/>
      <c r="C47" s="30">
        <f>ROUND(SUM(C46),5)</f>
        <v>8.8770000000000002E-2</v>
      </c>
      <c r="D47" s="29">
        <f>ROUND(SUM(D46),2)</f>
        <v>312.97000000000003</v>
      </c>
    </row>
    <row r="48" spans="1:4" x14ac:dyDescent="0.35">
      <c r="A48" s="20"/>
      <c r="B48" s="20"/>
      <c r="C48" s="8"/>
      <c r="D48" s="7"/>
    </row>
    <row r="49" spans="1:4" x14ac:dyDescent="0.35">
      <c r="A49" s="207" t="s">
        <v>38</v>
      </c>
      <c r="B49" s="208"/>
      <c r="C49" s="90" t="s">
        <v>6</v>
      </c>
      <c r="D49" s="90" t="s">
        <v>7</v>
      </c>
    </row>
    <row r="50" spans="1:4" ht="65.5" customHeight="1" x14ac:dyDescent="0.35">
      <c r="A50" s="176" t="s">
        <v>39</v>
      </c>
      <c r="B50" s="178"/>
      <c r="C50" s="15">
        <f>ROUND(8%*C40,5)</f>
        <v>3.3E-4</v>
      </c>
      <c r="D50" s="5">
        <f>ROUND($D$13*C50,2)</f>
        <v>1.1599999999999999</v>
      </c>
    </row>
    <row r="51" spans="1:4" x14ac:dyDescent="0.35">
      <c r="A51" s="198" t="s">
        <v>40</v>
      </c>
      <c r="B51" s="199"/>
      <c r="C51" s="30">
        <f>ROUND(SUM(C50:C50),5)</f>
        <v>3.3E-4</v>
      </c>
      <c r="D51" s="29">
        <f>ROUND(SUM(D50:D50),2)</f>
        <v>1.1599999999999999</v>
      </c>
    </row>
    <row r="52" spans="1:4" x14ac:dyDescent="0.35">
      <c r="A52" s="20"/>
      <c r="B52" s="20"/>
      <c r="C52" s="8"/>
      <c r="D52" s="7"/>
    </row>
    <row r="53" spans="1:4" x14ac:dyDescent="0.35">
      <c r="A53" s="207" t="s">
        <v>41</v>
      </c>
      <c r="B53" s="208"/>
      <c r="C53" s="90" t="s">
        <v>6</v>
      </c>
      <c r="D53" s="90" t="s">
        <v>7</v>
      </c>
    </row>
    <row r="54" spans="1:4" ht="106.5" customHeight="1" x14ac:dyDescent="0.35">
      <c r="A54" s="176" t="s">
        <v>42</v>
      </c>
      <c r="B54" s="178"/>
      <c r="C54" s="14">
        <f>ROUND(C25*(13/12)*(4/12)*2/100,5)</f>
        <v>2.7299999999999998E-3</v>
      </c>
      <c r="D54" s="5">
        <f>ROUND($D$13*C54,2)</f>
        <v>9.6199999999999992</v>
      </c>
    </row>
    <row r="55" spans="1:4" x14ac:dyDescent="0.35">
      <c r="A55" s="198" t="s">
        <v>43</v>
      </c>
      <c r="B55" s="199"/>
      <c r="C55" s="30">
        <f>ROUND(SUM(C54),5)</f>
        <v>2.7299999999999998E-3</v>
      </c>
      <c r="D55" s="29">
        <f>ROUND(SUM(D54),2)</f>
        <v>9.6199999999999992</v>
      </c>
    </row>
    <row r="56" spans="1:4" x14ac:dyDescent="0.35">
      <c r="A56" s="198" t="s">
        <v>44</v>
      </c>
      <c r="B56" s="199"/>
      <c r="C56" s="30">
        <f>ROUND(C25+C37+C43+C47+C51+C55,5)</f>
        <v>0.74250000000000005</v>
      </c>
      <c r="D56" s="29">
        <f>ROUND(D25+D37+D43+D47+D51+D55,2)</f>
        <v>2617.75</v>
      </c>
    </row>
    <row r="57" spans="1:4" ht="15" customHeight="1" x14ac:dyDescent="0.35">
      <c r="A57" s="20"/>
      <c r="B57" s="20"/>
      <c r="C57" s="8"/>
      <c r="D57" s="7"/>
    </row>
    <row r="58" spans="1:4" ht="15" customHeight="1" x14ac:dyDescent="0.35">
      <c r="A58" s="198" t="s">
        <v>45</v>
      </c>
      <c r="B58" s="200"/>
      <c r="C58" s="199"/>
      <c r="D58" s="29">
        <f>D13+D56</f>
        <v>6143.37</v>
      </c>
    </row>
    <row r="59" spans="1:4" ht="15" customHeight="1" x14ac:dyDescent="0.35">
      <c r="A59" s="3"/>
      <c r="B59" s="3"/>
      <c r="C59" s="3"/>
      <c r="D59" s="3"/>
    </row>
    <row r="60" spans="1:4" ht="15" customHeight="1" x14ac:dyDescent="0.35">
      <c r="A60" s="202" t="s">
        <v>72</v>
      </c>
      <c r="B60" s="202"/>
      <c r="C60" s="202"/>
      <c r="D60" s="202"/>
    </row>
    <row r="61" spans="1:4" x14ac:dyDescent="0.35">
      <c r="A61" s="202" t="s">
        <v>46</v>
      </c>
      <c r="B61" s="202"/>
      <c r="C61" s="90" t="s">
        <v>218</v>
      </c>
      <c r="D61" s="92" t="s">
        <v>7</v>
      </c>
    </row>
    <row r="62" spans="1:4" ht="96" customHeight="1" x14ac:dyDescent="0.35">
      <c r="A62" s="206" t="s">
        <v>91</v>
      </c>
      <c r="B62" s="206"/>
      <c r="C62" s="33">
        <v>15</v>
      </c>
      <c r="D62" s="33">
        <f>ROUND(C62*4,2)</f>
        <v>60</v>
      </c>
    </row>
    <row r="63" spans="1:4" ht="102.5" customHeight="1" x14ac:dyDescent="0.35">
      <c r="A63" s="205" t="s">
        <v>93</v>
      </c>
      <c r="B63" s="205"/>
      <c r="C63" s="102">
        <v>3.8</v>
      </c>
      <c r="D63" s="47">
        <f>ROUND(C63*2*4,2)</f>
        <v>30.4</v>
      </c>
    </row>
    <row r="64" spans="1:4" ht="15" customHeight="1" x14ac:dyDescent="0.35">
      <c r="A64" s="217" t="s">
        <v>48</v>
      </c>
      <c r="B64" s="217"/>
      <c r="C64" s="217"/>
      <c r="D64" s="29">
        <f>ROUND(SUM(D62:D63),2)</f>
        <v>90.4</v>
      </c>
    </row>
    <row r="65" spans="1:4" x14ac:dyDescent="0.35">
      <c r="A65" s="20"/>
      <c r="B65" s="20"/>
      <c r="C65" s="20"/>
      <c r="D65" s="7"/>
    </row>
    <row r="66" spans="1:4" ht="30" customHeight="1" x14ac:dyDescent="0.35">
      <c r="A66" s="198" t="s">
        <v>49</v>
      </c>
      <c r="B66" s="200"/>
      <c r="C66" s="199"/>
      <c r="D66" s="29">
        <f>ROUND(D58+D64,2)</f>
        <v>6233.77</v>
      </c>
    </row>
    <row r="67" spans="1:4" x14ac:dyDescent="0.35">
      <c r="A67" s="20"/>
      <c r="B67" s="20"/>
      <c r="C67" s="20"/>
      <c r="D67" s="7"/>
    </row>
    <row r="68" spans="1:4" x14ac:dyDescent="0.35">
      <c r="A68" s="202" t="s">
        <v>88</v>
      </c>
      <c r="B68" s="202"/>
      <c r="C68" s="202"/>
      <c r="D68" s="202"/>
    </row>
    <row r="69" spans="1:4" x14ac:dyDescent="0.35">
      <c r="A69" s="207" t="s">
        <v>50</v>
      </c>
      <c r="B69" s="208"/>
      <c r="C69" s="90" t="s">
        <v>6</v>
      </c>
      <c r="D69" s="90" t="s">
        <v>7</v>
      </c>
    </row>
    <row r="70" spans="1:4" s="1" customFormat="1" ht="30" customHeight="1" x14ac:dyDescent="0.3">
      <c r="A70" s="176" t="s">
        <v>51</v>
      </c>
      <c r="B70" s="178"/>
      <c r="C70" s="13">
        <v>0</v>
      </c>
      <c r="D70" s="18">
        <f>ROUND(D66*C70,2)</f>
        <v>0</v>
      </c>
    </row>
    <row r="71" spans="1:4" s="1" customFormat="1" ht="30" customHeight="1" x14ac:dyDescent="0.3">
      <c r="A71" s="196" t="s">
        <v>9</v>
      </c>
      <c r="B71" s="197"/>
      <c r="C71" s="41">
        <v>0</v>
      </c>
      <c r="D71" s="44">
        <f>ROUND(D66*C71,2)</f>
        <v>0</v>
      </c>
    </row>
    <row r="72" spans="1:4" x14ac:dyDescent="0.35">
      <c r="A72" s="198" t="s">
        <v>52</v>
      </c>
      <c r="B72" s="199"/>
      <c r="C72" s="31">
        <f>ROUND(SUM(C70:C71),5)</f>
        <v>0</v>
      </c>
      <c r="D72" s="29">
        <f>SUM(D70:D71)</f>
        <v>0</v>
      </c>
    </row>
    <row r="73" spans="1:4" x14ac:dyDescent="0.35">
      <c r="A73" s="20"/>
      <c r="B73" s="20"/>
      <c r="C73" s="6"/>
      <c r="D73" s="7"/>
    </row>
    <row r="74" spans="1:4" ht="30" customHeight="1" x14ac:dyDescent="0.35">
      <c r="A74" s="198" t="s">
        <v>73</v>
      </c>
      <c r="B74" s="200"/>
      <c r="C74" s="199"/>
      <c r="D74" s="29">
        <f>ROUND(D66+D72,2)</f>
        <v>6233.77</v>
      </c>
    </row>
    <row r="75" spans="1:4" x14ac:dyDescent="0.35">
      <c r="A75" s="20"/>
      <c r="B75" s="20"/>
      <c r="C75" s="20"/>
      <c r="D75" s="7"/>
    </row>
    <row r="76" spans="1:4" ht="35.25" customHeight="1" x14ac:dyDescent="0.35">
      <c r="A76" s="235" t="s">
        <v>63</v>
      </c>
      <c r="B76" s="235"/>
      <c r="C76" s="30">
        <f>ROUND(1-(SUM(C79:C81)/1),5)</f>
        <v>0.91349999999999998</v>
      </c>
      <c r="D76" s="29">
        <f>ROUND(D74/C76,2)</f>
        <v>6824.05</v>
      </c>
    </row>
    <row r="77" spans="1:4" x14ac:dyDescent="0.35">
      <c r="A77" s="3"/>
      <c r="B77" s="3"/>
      <c r="C77" s="3"/>
      <c r="D77" s="3"/>
    </row>
    <row r="78" spans="1:4" x14ac:dyDescent="0.35">
      <c r="A78" s="207" t="s">
        <v>53</v>
      </c>
      <c r="B78" s="208"/>
      <c r="C78" s="90" t="s">
        <v>6</v>
      </c>
      <c r="D78" s="90" t="s">
        <v>7</v>
      </c>
    </row>
    <row r="79" spans="1:4" ht="22" customHeight="1" x14ac:dyDescent="0.35">
      <c r="A79" s="176" t="s">
        <v>54</v>
      </c>
      <c r="B79" s="178"/>
      <c r="C79" s="13">
        <v>0.05</v>
      </c>
      <c r="D79" s="5">
        <f>ROUND($D$76*C79,2)</f>
        <v>341.2</v>
      </c>
    </row>
    <row r="80" spans="1:4" ht="22" customHeight="1" x14ac:dyDescent="0.35">
      <c r="A80" s="196" t="s">
        <v>55</v>
      </c>
      <c r="B80" s="197"/>
      <c r="C80" s="41">
        <v>0.03</v>
      </c>
      <c r="D80" s="42">
        <f>ROUND($D$76*C80,2)</f>
        <v>204.72</v>
      </c>
    </row>
    <row r="81" spans="1:4" ht="22" customHeight="1" x14ac:dyDescent="0.35">
      <c r="A81" s="176" t="s">
        <v>56</v>
      </c>
      <c r="B81" s="178"/>
      <c r="C81" s="13">
        <v>6.4999999999999997E-3</v>
      </c>
      <c r="D81" s="5">
        <f>ROUND($D$76*C81,2)</f>
        <v>44.36</v>
      </c>
    </row>
    <row r="82" spans="1:4" x14ac:dyDescent="0.35">
      <c r="A82" s="198" t="s">
        <v>57</v>
      </c>
      <c r="B82" s="199"/>
      <c r="C82" s="30">
        <f>ROUND(SUM(C79:C81),5)</f>
        <v>8.6499999999999994E-2</v>
      </c>
      <c r="D82" s="29">
        <f>ROUND(SUM(D79:D81),2)</f>
        <v>590.28</v>
      </c>
    </row>
    <row r="83" spans="1:4" ht="10" customHeight="1" x14ac:dyDescent="0.35">
      <c r="A83" s="3"/>
      <c r="B83" s="3"/>
      <c r="C83" s="3"/>
      <c r="D83" s="3"/>
    </row>
    <row r="84" spans="1:4" ht="25" customHeight="1" x14ac:dyDescent="0.35">
      <c r="A84" s="198" t="s">
        <v>58</v>
      </c>
      <c r="B84" s="200"/>
      <c r="C84" s="199"/>
      <c r="D84" s="29">
        <f>ROUND(D74+D82,2)</f>
        <v>6824.05</v>
      </c>
    </row>
    <row r="85" spans="1:4" ht="25" customHeight="1" x14ac:dyDescent="0.35">
      <c r="A85" s="198" t="s">
        <v>64</v>
      </c>
      <c r="B85" s="200"/>
      <c r="C85" s="199"/>
      <c r="D85" s="29">
        <f>ROUND(D84*12,2)</f>
        <v>81888.600000000006</v>
      </c>
    </row>
    <row r="86" spans="1:4" ht="10" customHeight="1" x14ac:dyDescent="0.35">
      <c r="A86" s="20"/>
      <c r="B86" s="20"/>
      <c r="C86" s="20"/>
      <c r="D86" s="7"/>
    </row>
    <row r="87" spans="1:4" ht="15" customHeight="1" x14ac:dyDescent="0.35">
      <c r="A87" s="202" t="s">
        <v>285</v>
      </c>
      <c r="B87" s="202"/>
      <c r="C87" s="202"/>
      <c r="D87" s="202"/>
    </row>
    <row r="88" spans="1:4" ht="15" customHeight="1" x14ac:dyDescent="0.35">
      <c r="A88" s="252" t="s">
        <v>85</v>
      </c>
      <c r="B88" s="253"/>
      <c r="C88" s="254"/>
      <c r="D88" s="116">
        <f>ROUND(D84/220,2)</f>
        <v>31.02</v>
      </c>
    </row>
    <row r="89" spans="1:4" ht="15" customHeight="1" x14ac:dyDescent="0.35">
      <c r="A89" s="252" t="s">
        <v>86</v>
      </c>
      <c r="B89" s="253"/>
      <c r="C89" s="254"/>
      <c r="D89" s="19">
        <f>ROUND((D88*50%)+D88,2)</f>
        <v>46.53</v>
      </c>
    </row>
    <row r="90" spans="1:4" ht="15" customHeight="1" x14ac:dyDescent="0.35">
      <c r="A90" s="252" t="s">
        <v>87</v>
      </c>
      <c r="B90" s="253"/>
      <c r="C90" s="254"/>
      <c r="D90" s="19">
        <f>ROUND((D88*100%)+D88,2)</f>
        <v>62.04</v>
      </c>
    </row>
    <row r="91" spans="1:4" ht="10" customHeight="1" x14ac:dyDescent="0.35">
      <c r="A91" s="20"/>
      <c r="B91" s="20"/>
      <c r="C91" s="20"/>
      <c r="D91" s="7"/>
    </row>
    <row r="92" spans="1:4" ht="15" customHeight="1" x14ac:dyDescent="0.35">
      <c r="A92" s="202" t="s">
        <v>59</v>
      </c>
      <c r="B92" s="202"/>
      <c r="C92" s="202"/>
      <c r="D92" s="27" t="s">
        <v>6</v>
      </c>
    </row>
    <row r="93" spans="1:4" ht="15" customHeight="1" x14ac:dyDescent="0.35">
      <c r="A93" s="201" t="s">
        <v>74</v>
      </c>
      <c r="B93" s="201"/>
      <c r="C93" s="201"/>
      <c r="D93" s="17">
        <f>C25</f>
        <v>0.378</v>
      </c>
    </row>
    <row r="94" spans="1:4" ht="15" customHeight="1" x14ac:dyDescent="0.35">
      <c r="A94" s="203" t="s">
        <v>29</v>
      </c>
      <c r="B94" s="203"/>
      <c r="C94" s="203"/>
      <c r="D94" s="43">
        <f>C37</f>
        <v>0.23483000000000001</v>
      </c>
    </row>
    <row r="95" spans="1:4" ht="15" customHeight="1" x14ac:dyDescent="0.35">
      <c r="A95" s="201" t="s">
        <v>34</v>
      </c>
      <c r="B95" s="201"/>
      <c r="C95" s="201"/>
      <c r="D95" s="17">
        <f>C43</f>
        <v>3.7839999999999999E-2</v>
      </c>
    </row>
    <row r="96" spans="1:4" ht="15" customHeight="1" x14ac:dyDescent="0.35">
      <c r="A96" s="203" t="s">
        <v>37</v>
      </c>
      <c r="B96" s="203"/>
      <c r="C96" s="203"/>
      <c r="D96" s="43">
        <f>C47</f>
        <v>8.8770000000000002E-2</v>
      </c>
    </row>
    <row r="97" spans="1:4" ht="15" customHeight="1" x14ac:dyDescent="0.35">
      <c r="A97" s="201" t="s">
        <v>40</v>
      </c>
      <c r="B97" s="201"/>
      <c r="C97" s="201"/>
      <c r="D97" s="17">
        <f>C51</f>
        <v>3.3E-4</v>
      </c>
    </row>
    <row r="98" spans="1:4" ht="15" customHeight="1" x14ac:dyDescent="0.35">
      <c r="A98" s="203" t="s">
        <v>43</v>
      </c>
      <c r="B98" s="203"/>
      <c r="C98" s="203"/>
      <c r="D98" s="43">
        <f>C55</f>
        <v>2.7299999999999998E-3</v>
      </c>
    </row>
    <row r="99" spans="1:4" ht="15" customHeight="1" x14ac:dyDescent="0.35">
      <c r="A99" s="236" t="s">
        <v>75</v>
      </c>
      <c r="B99" s="236"/>
      <c r="C99" s="236"/>
      <c r="D99" s="28">
        <f>ROUND(SUM(D93:D98),5)</f>
        <v>0.74250000000000005</v>
      </c>
    </row>
    <row r="100" spans="1:4" ht="10" customHeight="1" x14ac:dyDescent="0.35"/>
    <row r="101" spans="1:4" x14ac:dyDescent="0.35">
      <c r="A101" s="207" t="s">
        <v>268</v>
      </c>
      <c r="B101" s="208"/>
      <c r="C101" s="90" t="s">
        <v>269</v>
      </c>
      <c r="D101" s="27" t="s">
        <v>6</v>
      </c>
    </row>
    <row r="102" spans="1:4" x14ac:dyDescent="0.35">
      <c r="A102" s="212" t="s">
        <v>270</v>
      </c>
      <c r="B102" s="213"/>
      <c r="C102" s="110">
        <f>D13</f>
        <v>3525.62</v>
      </c>
      <c r="D102" s="17">
        <f>ROUND(C102/$C$106,5)</f>
        <v>0.51665000000000005</v>
      </c>
    </row>
    <row r="103" spans="1:4" ht="24.5" customHeight="1" x14ac:dyDescent="0.35">
      <c r="A103" s="229" t="s">
        <v>271</v>
      </c>
      <c r="B103" s="230"/>
      <c r="C103" s="111">
        <f>D56</f>
        <v>2617.75</v>
      </c>
      <c r="D103" s="43">
        <f>ROUND(C103/$C$106,5)</f>
        <v>0.38361000000000001</v>
      </c>
    </row>
    <row r="104" spans="1:4" x14ac:dyDescent="0.35">
      <c r="A104" s="212" t="s">
        <v>272</v>
      </c>
      <c r="B104" s="213"/>
      <c r="C104" s="110">
        <f>D64</f>
        <v>90.4</v>
      </c>
      <c r="D104" s="17">
        <f>ROUND(C104/$C$106,5)</f>
        <v>1.325E-2</v>
      </c>
    </row>
    <row r="105" spans="1:4" x14ac:dyDescent="0.35">
      <c r="A105" s="229" t="s">
        <v>273</v>
      </c>
      <c r="B105" s="230"/>
      <c r="C105" s="111">
        <f>ROUND(D72+D82,2)</f>
        <v>590.28</v>
      </c>
      <c r="D105" s="43">
        <f>ROUND(C105/$C$106,5)</f>
        <v>8.6499999999999994E-2</v>
      </c>
    </row>
    <row r="106" spans="1:4" x14ac:dyDescent="0.35">
      <c r="A106" s="231" t="s">
        <v>274</v>
      </c>
      <c r="B106" s="232"/>
      <c r="C106" s="112">
        <f>ROUND(SUM(C102:C105),2)</f>
        <v>6824.05</v>
      </c>
      <c r="D106" s="30">
        <f>ROUND(SUM(D102:D105),5)</f>
        <v>1.0000100000000001</v>
      </c>
    </row>
  </sheetData>
  <mergeCells count="88">
    <mergeCell ref="A101:B101"/>
    <mergeCell ref="A95:C95"/>
    <mergeCell ref="A96:C96"/>
    <mergeCell ref="A97:C97"/>
    <mergeCell ref="A98:C98"/>
    <mergeCell ref="A99:C99"/>
    <mergeCell ref="A102:B102"/>
    <mergeCell ref="A103:B103"/>
    <mergeCell ref="A104:B104"/>
    <mergeCell ref="A105:B105"/>
    <mergeCell ref="A106:B106"/>
    <mergeCell ref="A94:C94"/>
    <mergeCell ref="A72:B72"/>
    <mergeCell ref="A74:C74"/>
    <mergeCell ref="A76:B76"/>
    <mergeCell ref="A78:B78"/>
    <mergeCell ref="A87:D87"/>
    <mergeCell ref="A88:C88"/>
    <mergeCell ref="A89:C89"/>
    <mergeCell ref="A90:C90"/>
    <mergeCell ref="A82:B82"/>
    <mergeCell ref="A84:C84"/>
    <mergeCell ref="A85:C85"/>
    <mergeCell ref="A92:C92"/>
    <mergeCell ref="A93:C93"/>
    <mergeCell ref="A58:C58"/>
    <mergeCell ref="A79:B79"/>
    <mergeCell ref="A80:B80"/>
    <mergeCell ref="A81:B81"/>
    <mergeCell ref="A66:C66"/>
    <mergeCell ref="A68:D68"/>
    <mergeCell ref="A69:B69"/>
    <mergeCell ref="A70:B70"/>
    <mergeCell ref="A71:B71"/>
    <mergeCell ref="A64:C64"/>
    <mergeCell ref="A60:D60"/>
    <mergeCell ref="A61:B61"/>
    <mergeCell ref="A62:B62"/>
    <mergeCell ref="A63:B63"/>
    <mergeCell ref="A51:B51"/>
    <mergeCell ref="A53:B53"/>
    <mergeCell ref="A54:B54"/>
    <mergeCell ref="A55:B55"/>
    <mergeCell ref="A56:B56"/>
    <mergeCell ref="A49:B49"/>
    <mergeCell ref="A50:B50"/>
    <mergeCell ref="A40:B40"/>
    <mergeCell ref="A41:B41"/>
    <mergeCell ref="A42:B42"/>
    <mergeCell ref="A43:B43"/>
    <mergeCell ref="A45:B45"/>
    <mergeCell ref="A31:B31"/>
    <mergeCell ref="A32:B32"/>
    <mergeCell ref="A33:B33"/>
    <mergeCell ref="A46:B46"/>
    <mergeCell ref="A47:B47"/>
    <mergeCell ref="A34:B34"/>
    <mergeCell ref="A35:B35"/>
    <mergeCell ref="A36:B36"/>
    <mergeCell ref="A37:B37"/>
    <mergeCell ref="A39:B39"/>
    <mergeCell ref="A25:B25"/>
    <mergeCell ref="A27:B27"/>
    <mergeCell ref="A28:B28"/>
    <mergeCell ref="A29:B29"/>
    <mergeCell ref="A30:B30"/>
    <mergeCell ref="A23:B23"/>
    <mergeCell ref="A24:B24"/>
    <mergeCell ref="A13:C13"/>
    <mergeCell ref="A15:D15"/>
    <mergeCell ref="A16:B16"/>
    <mergeCell ref="A17:B17"/>
    <mergeCell ref="A18:B18"/>
    <mergeCell ref="B6:D6"/>
    <mergeCell ref="A19:B19"/>
    <mergeCell ref="A20:B20"/>
    <mergeCell ref="A21:B21"/>
    <mergeCell ref="A22:B22"/>
    <mergeCell ref="A8:D8"/>
    <mergeCell ref="A9:D9"/>
    <mergeCell ref="A10:B10"/>
    <mergeCell ref="A11:B11"/>
    <mergeCell ref="A12:B12"/>
    <mergeCell ref="A1:D1"/>
    <mergeCell ref="B2:D2"/>
    <mergeCell ref="B3:D3"/>
    <mergeCell ref="B4:D4"/>
    <mergeCell ref="B5:D5"/>
  </mergeCells>
  <pageMargins left="0.23622047244094491" right="0.23622047244094491" top="1.3385826771653544" bottom="0.74803149606299213" header="0.9055118110236221" footer="0.31496062992125984"/>
  <pageSetup fitToHeight="0" orientation="landscape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D6A1E-3955-4D06-A98A-1835B4491E7A}">
  <sheetPr codeName="Planilha26">
    <pageSetUpPr fitToPage="1"/>
  </sheetPr>
  <dimension ref="A1:F29"/>
  <sheetViews>
    <sheetView view="pageBreakPreview" zoomScaleNormal="100" zoomScaleSheetLayoutView="100" workbookViewId="0">
      <selection activeCell="H9" sqref="H9"/>
    </sheetView>
  </sheetViews>
  <sheetFormatPr defaultRowHeight="14.5" x14ac:dyDescent="0.35"/>
  <cols>
    <col min="5" max="5" width="9.54296875" bestFit="1" customWidth="1"/>
    <col min="6" max="6" width="10.90625" customWidth="1"/>
  </cols>
  <sheetData>
    <row r="1" spans="1:6" x14ac:dyDescent="0.35">
      <c r="A1" s="251" t="s">
        <v>174</v>
      </c>
      <c r="B1" s="251"/>
      <c r="C1" s="251"/>
      <c r="D1" s="251"/>
      <c r="E1" s="251"/>
      <c r="F1" s="251"/>
    </row>
    <row r="2" spans="1:6" x14ac:dyDescent="0.35">
      <c r="A2" s="256" t="s">
        <v>104</v>
      </c>
      <c r="B2" s="256"/>
      <c r="C2" s="256" t="s">
        <v>105</v>
      </c>
      <c r="D2" s="256"/>
      <c r="E2" s="256" t="s">
        <v>106</v>
      </c>
      <c r="F2" s="256"/>
    </row>
    <row r="3" spans="1:6" x14ac:dyDescent="0.35">
      <c r="A3" s="257" t="s">
        <v>107</v>
      </c>
      <c r="B3" s="257"/>
      <c r="C3" s="257" t="s">
        <v>108</v>
      </c>
      <c r="D3" s="257"/>
      <c r="E3" s="258">
        <f>'Dados de Passagens e Diarias'!E5</f>
        <v>65</v>
      </c>
      <c r="F3" s="257"/>
    </row>
    <row r="4" spans="1:6" x14ac:dyDescent="0.35">
      <c r="A4" s="21"/>
      <c r="B4" s="21"/>
      <c r="C4" s="21"/>
      <c r="D4" s="21"/>
      <c r="E4" s="21"/>
      <c r="F4" s="21"/>
    </row>
    <row r="5" spans="1:6" x14ac:dyDescent="0.35">
      <c r="A5" s="255" t="s">
        <v>120</v>
      </c>
      <c r="B5" s="255"/>
      <c r="C5" s="255"/>
      <c r="D5" s="255"/>
      <c r="E5" s="255"/>
      <c r="F5" s="255"/>
    </row>
    <row r="6" spans="1:6" x14ac:dyDescent="0.35">
      <c r="A6" s="259" t="s">
        <v>107</v>
      </c>
      <c r="B6" s="259"/>
      <c r="C6" s="259"/>
      <c r="D6" s="259"/>
      <c r="E6" s="259"/>
      <c r="F6" s="33">
        <v>288</v>
      </c>
    </row>
    <row r="7" spans="1:6" x14ac:dyDescent="0.35">
      <c r="A7" s="235" t="s">
        <v>123</v>
      </c>
      <c r="B7" s="235"/>
      <c r="C7" s="235"/>
      <c r="D7" s="235"/>
      <c r="E7" s="235"/>
      <c r="F7" s="29">
        <f>SUM(F5:F6)</f>
        <v>288</v>
      </c>
    </row>
    <row r="9" spans="1:6" ht="9.5" customHeight="1" x14ac:dyDescent="0.35"/>
    <row r="10" spans="1:6" x14ac:dyDescent="0.35">
      <c r="A10" s="21"/>
      <c r="B10" s="21"/>
      <c r="C10" s="21"/>
      <c r="D10" s="21"/>
      <c r="E10" s="21"/>
      <c r="F10" s="21"/>
    </row>
    <row r="11" spans="1:6" x14ac:dyDescent="0.35">
      <c r="A11" s="255" t="s">
        <v>112</v>
      </c>
      <c r="B11" s="255"/>
      <c r="C11" s="255"/>
      <c r="D11" s="255"/>
      <c r="E11" s="255"/>
      <c r="F11" s="255"/>
    </row>
    <row r="12" spans="1:6" x14ac:dyDescent="0.35">
      <c r="A12" s="255" t="s">
        <v>50</v>
      </c>
      <c r="B12" s="255"/>
      <c r="C12" s="255"/>
      <c r="D12" s="255"/>
      <c r="E12" s="40" t="s">
        <v>6</v>
      </c>
      <c r="F12" s="40" t="s">
        <v>7</v>
      </c>
    </row>
    <row r="13" spans="1:6" ht="35" customHeight="1" x14ac:dyDescent="0.35">
      <c r="A13" s="201" t="s">
        <v>51</v>
      </c>
      <c r="B13" s="201"/>
      <c r="C13" s="201"/>
      <c r="D13" s="201"/>
      <c r="E13" s="14">
        <v>0.05</v>
      </c>
      <c r="F13" s="18">
        <f>ROUND(F7*E13,2)</f>
        <v>14.4</v>
      </c>
    </row>
    <row r="14" spans="1:6" ht="35" customHeight="1" x14ac:dyDescent="0.35">
      <c r="A14" s="203" t="s">
        <v>9</v>
      </c>
      <c r="B14" s="203"/>
      <c r="C14" s="203"/>
      <c r="D14" s="203"/>
      <c r="E14" s="55">
        <v>0.1</v>
      </c>
      <c r="F14" s="44">
        <f>ROUND(F7*E14%,2)</f>
        <v>0.28999999999999998</v>
      </c>
    </row>
    <row r="15" spans="1:6" ht="25" customHeight="1" x14ac:dyDescent="0.35">
      <c r="A15" s="217" t="s">
        <v>116</v>
      </c>
      <c r="B15" s="217"/>
      <c r="C15" s="217"/>
      <c r="D15" s="217"/>
      <c r="E15" s="30">
        <f>ROUND(SUM(E13:E14),5)</f>
        <v>0.15</v>
      </c>
      <c r="F15" s="29">
        <f>ROUND(SUM(F13:F14),2)</f>
        <v>14.69</v>
      </c>
    </row>
    <row r="17" spans="1:6" x14ac:dyDescent="0.35">
      <c r="A17" s="235" t="s">
        <v>121</v>
      </c>
      <c r="B17" s="235"/>
      <c r="C17" s="235"/>
      <c r="D17" s="235"/>
      <c r="E17" s="235"/>
      <c r="F17" s="29">
        <f>ROUND(F7+F15,2)</f>
        <v>302.69</v>
      </c>
    </row>
    <row r="19" spans="1:6" ht="31" customHeight="1" x14ac:dyDescent="0.35">
      <c r="A19" s="260" t="s">
        <v>63</v>
      </c>
      <c r="B19" s="261"/>
      <c r="C19" s="261"/>
      <c r="D19" s="262"/>
      <c r="E19" s="30">
        <f>ROUND(1-(SUM(E22:E24)/1),5)</f>
        <v>0.91349999999999998</v>
      </c>
      <c r="F19" s="29">
        <f>ROUND(F17/E19,2)</f>
        <v>331.35</v>
      </c>
    </row>
    <row r="20" spans="1:6" x14ac:dyDescent="0.35">
      <c r="A20" s="21"/>
      <c r="B20" s="21"/>
      <c r="C20" s="21"/>
      <c r="D20" s="21"/>
      <c r="E20" s="21"/>
      <c r="F20" s="21"/>
    </row>
    <row r="21" spans="1:6" x14ac:dyDescent="0.35">
      <c r="A21" s="255" t="s">
        <v>53</v>
      </c>
      <c r="B21" s="255"/>
      <c r="C21" s="255"/>
      <c r="D21" s="255"/>
      <c r="E21" s="40" t="s">
        <v>6</v>
      </c>
      <c r="F21" s="40" t="s">
        <v>7</v>
      </c>
    </row>
    <row r="22" spans="1:6" x14ac:dyDescent="0.35">
      <c r="A22" s="201" t="s">
        <v>54</v>
      </c>
      <c r="B22" s="201"/>
      <c r="C22" s="201"/>
      <c r="D22" s="201"/>
      <c r="E22" s="13">
        <v>0.05</v>
      </c>
      <c r="F22" s="5">
        <f>ROUND($F$19*E22,2)</f>
        <v>16.57</v>
      </c>
    </row>
    <row r="23" spans="1:6" x14ac:dyDescent="0.35">
      <c r="A23" s="203" t="s">
        <v>55</v>
      </c>
      <c r="B23" s="203"/>
      <c r="C23" s="203"/>
      <c r="D23" s="203"/>
      <c r="E23" s="41">
        <v>0.03</v>
      </c>
      <c r="F23" s="42">
        <f>ROUND($F$19*E23,2)</f>
        <v>9.94</v>
      </c>
    </row>
    <row r="24" spans="1:6" x14ac:dyDescent="0.35">
      <c r="A24" s="201" t="s">
        <v>56</v>
      </c>
      <c r="B24" s="201"/>
      <c r="C24" s="201"/>
      <c r="D24" s="201"/>
      <c r="E24" s="13">
        <v>6.4999999999999997E-3</v>
      </c>
      <c r="F24" s="5">
        <f>ROUND($F$19*E24,2)</f>
        <v>2.15</v>
      </c>
    </row>
    <row r="25" spans="1:6" ht="26" customHeight="1" x14ac:dyDescent="0.35">
      <c r="A25" s="217" t="s">
        <v>119</v>
      </c>
      <c r="B25" s="217"/>
      <c r="C25" s="217"/>
      <c r="D25" s="217"/>
      <c r="E25" s="31">
        <f>ROUND(SUM(E22:E24),5)</f>
        <v>8.6499999999999994E-2</v>
      </c>
      <c r="F25" s="29">
        <f>ROUND(SUM(F22:F24),2)</f>
        <v>28.66</v>
      </c>
    </row>
    <row r="26" spans="1:6" x14ac:dyDescent="0.35">
      <c r="A26" s="21"/>
      <c r="B26" s="21"/>
      <c r="C26" s="21"/>
      <c r="D26" s="21"/>
      <c r="E26" s="21"/>
      <c r="F26" s="21"/>
    </row>
    <row r="27" spans="1:6" x14ac:dyDescent="0.35">
      <c r="A27" s="217" t="s">
        <v>176</v>
      </c>
      <c r="B27" s="217"/>
      <c r="C27" s="217"/>
      <c r="D27" s="217"/>
      <c r="E27" s="217"/>
      <c r="F27" s="39">
        <f>ROUND(F17+F25,2)</f>
        <v>331.35</v>
      </c>
    </row>
    <row r="28" spans="1:6" x14ac:dyDescent="0.35">
      <c r="A28" s="217" t="s">
        <v>110</v>
      </c>
      <c r="B28" s="217"/>
      <c r="C28" s="217"/>
      <c r="D28" s="217"/>
      <c r="E28" s="217"/>
      <c r="F28" s="39">
        <f>ROUND(F27*E3,2)</f>
        <v>21537.75</v>
      </c>
    </row>
    <row r="29" spans="1:6" x14ac:dyDescent="0.35">
      <c r="A29" s="217" t="s">
        <v>111</v>
      </c>
      <c r="B29" s="217"/>
      <c r="C29" s="217"/>
      <c r="D29" s="217"/>
      <c r="E29" s="217"/>
      <c r="F29" s="39">
        <f>ROUND(F28/12,2)</f>
        <v>1794.81</v>
      </c>
    </row>
  </sheetData>
  <mergeCells count="25">
    <mergeCell ref="A25:D25"/>
    <mergeCell ref="A27:E27"/>
    <mergeCell ref="A28:E28"/>
    <mergeCell ref="A29:E29"/>
    <mergeCell ref="A19:D19"/>
    <mergeCell ref="A22:D22"/>
    <mergeCell ref="A13:D13"/>
    <mergeCell ref="A23:D23"/>
    <mergeCell ref="A24:D24"/>
    <mergeCell ref="A14:D14"/>
    <mergeCell ref="A15:D15"/>
    <mergeCell ref="A21:D21"/>
    <mergeCell ref="A17:E17"/>
    <mergeCell ref="A12:D12"/>
    <mergeCell ref="A1:F1"/>
    <mergeCell ref="A2:B2"/>
    <mergeCell ref="C2:D2"/>
    <mergeCell ref="E2:F2"/>
    <mergeCell ref="A3:B3"/>
    <mergeCell ref="C3:D3"/>
    <mergeCell ref="E3:F3"/>
    <mergeCell ref="A5:F5"/>
    <mergeCell ref="A6:E6"/>
    <mergeCell ref="A7:E7"/>
    <mergeCell ref="A11:F11"/>
  </mergeCells>
  <pageMargins left="0.23622047244094491" right="0.23622047244094491" top="1.3385826771653544" bottom="0.74803149606299213" header="0.9055118110236221" footer="0.31496062992125984"/>
  <pageSetup fitToHeight="0" orientation="landscape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5EEC2-59CA-4552-8C37-E6790ADB13BC}">
  <sheetPr codeName="Planilha25">
    <pageSetUpPr fitToPage="1"/>
  </sheetPr>
  <dimension ref="A1:F29"/>
  <sheetViews>
    <sheetView view="pageBreakPreview" zoomScaleNormal="100" zoomScaleSheetLayoutView="100" workbookViewId="0">
      <selection activeCell="I21" sqref="I21"/>
    </sheetView>
  </sheetViews>
  <sheetFormatPr defaultRowHeight="14.5" x14ac:dyDescent="0.35"/>
  <cols>
    <col min="6" max="6" width="15.6328125" customWidth="1"/>
  </cols>
  <sheetData>
    <row r="1" spans="1:6" x14ac:dyDescent="0.35">
      <c r="A1" s="251" t="s">
        <v>175</v>
      </c>
      <c r="B1" s="251"/>
      <c r="C1" s="251"/>
      <c r="D1" s="251"/>
      <c r="E1" s="251"/>
      <c r="F1" s="251"/>
    </row>
    <row r="2" spans="1:6" x14ac:dyDescent="0.35">
      <c r="A2" s="256" t="s">
        <v>104</v>
      </c>
      <c r="B2" s="256"/>
      <c r="C2" s="256" t="s">
        <v>105</v>
      </c>
      <c r="D2" s="256"/>
      <c r="E2" s="256" t="s">
        <v>106</v>
      </c>
      <c r="F2" s="256"/>
    </row>
    <row r="3" spans="1:6" x14ac:dyDescent="0.35">
      <c r="A3" s="257" t="s">
        <v>113</v>
      </c>
      <c r="B3" s="257"/>
      <c r="C3" s="257" t="s">
        <v>108</v>
      </c>
      <c r="D3" s="257"/>
      <c r="E3" s="258">
        <f>'Dados de Passagens e Diarias'!B4</f>
        <v>6</v>
      </c>
      <c r="F3" s="257"/>
    </row>
    <row r="4" spans="1:6" x14ac:dyDescent="0.35">
      <c r="A4" s="21"/>
      <c r="B4" s="21"/>
      <c r="C4" s="21"/>
      <c r="D4" s="21"/>
      <c r="E4" s="21"/>
      <c r="F4" s="21"/>
    </row>
    <row r="5" spans="1:6" x14ac:dyDescent="0.35">
      <c r="A5" s="255" t="s">
        <v>118</v>
      </c>
      <c r="B5" s="255"/>
      <c r="C5" s="255"/>
      <c r="D5" s="255"/>
      <c r="E5" s="255"/>
      <c r="F5" s="255"/>
    </row>
    <row r="6" spans="1:6" x14ac:dyDescent="0.35">
      <c r="A6" s="259" t="s">
        <v>114</v>
      </c>
      <c r="B6" s="259"/>
      <c r="C6" s="259"/>
      <c r="D6" s="259"/>
      <c r="E6" s="259"/>
      <c r="F6" s="33">
        <v>1160</v>
      </c>
    </row>
    <row r="7" spans="1:6" x14ac:dyDescent="0.35">
      <c r="A7" s="217" t="s">
        <v>115</v>
      </c>
      <c r="B7" s="217"/>
      <c r="C7" s="217"/>
      <c r="D7" s="217"/>
      <c r="E7" s="217"/>
      <c r="F7" s="29">
        <f>SUM(F5:F6)</f>
        <v>1160</v>
      </c>
    </row>
    <row r="9" spans="1:6" ht="10" customHeight="1" x14ac:dyDescent="0.35"/>
    <row r="10" spans="1:6" x14ac:dyDescent="0.35">
      <c r="A10" s="21"/>
      <c r="B10" s="21"/>
      <c r="C10" s="21"/>
      <c r="D10" s="21"/>
      <c r="E10" s="21"/>
      <c r="F10" s="21"/>
    </row>
    <row r="11" spans="1:6" x14ac:dyDescent="0.35">
      <c r="A11" s="255" t="s">
        <v>109</v>
      </c>
      <c r="B11" s="255"/>
      <c r="C11" s="255"/>
      <c r="D11" s="255"/>
      <c r="E11" s="255"/>
      <c r="F11" s="255"/>
    </row>
    <row r="12" spans="1:6" x14ac:dyDescent="0.35">
      <c r="A12" s="255" t="s">
        <v>50</v>
      </c>
      <c r="B12" s="255"/>
      <c r="C12" s="255"/>
      <c r="D12" s="255"/>
      <c r="E12" s="40" t="s">
        <v>6</v>
      </c>
      <c r="F12" s="40" t="s">
        <v>7</v>
      </c>
    </row>
    <row r="13" spans="1:6" ht="35" customHeight="1" x14ac:dyDescent="0.35">
      <c r="A13" s="201" t="s">
        <v>51</v>
      </c>
      <c r="B13" s="201"/>
      <c r="C13" s="201"/>
      <c r="D13" s="201"/>
      <c r="E13" s="14">
        <v>0.05</v>
      </c>
      <c r="F13" s="18">
        <f>ROUND(F7*E13,2)</f>
        <v>58</v>
      </c>
    </row>
    <row r="14" spans="1:6" ht="35" customHeight="1" x14ac:dyDescent="0.35">
      <c r="A14" s="203" t="s">
        <v>9</v>
      </c>
      <c r="B14" s="203"/>
      <c r="C14" s="203"/>
      <c r="D14" s="203"/>
      <c r="E14" s="55">
        <v>0.1</v>
      </c>
      <c r="F14" s="44">
        <f>ROUND(F7*E14,2)</f>
        <v>116</v>
      </c>
    </row>
    <row r="15" spans="1:6" ht="25" customHeight="1" x14ac:dyDescent="0.35">
      <c r="A15" s="217" t="s">
        <v>116</v>
      </c>
      <c r="B15" s="217"/>
      <c r="C15" s="217"/>
      <c r="D15" s="217"/>
      <c r="E15" s="30">
        <f>ROUND(SUM(E13:E14),5)</f>
        <v>0.15</v>
      </c>
      <c r="F15" s="29">
        <f>ROUND(SUM(F13:F14),2)</f>
        <v>174</v>
      </c>
    </row>
    <row r="17" spans="1:6" x14ac:dyDescent="0.35">
      <c r="A17" s="235" t="s">
        <v>117</v>
      </c>
      <c r="B17" s="235"/>
      <c r="C17" s="235"/>
      <c r="D17" s="235"/>
      <c r="E17" s="235"/>
      <c r="F17" s="29">
        <f>ROUND(F7+F15,2)</f>
        <v>1334</v>
      </c>
    </row>
    <row r="19" spans="1:6" ht="30.5" customHeight="1" x14ac:dyDescent="0.35">
      <c r="A19" s="260" t="s">
        <v>63</v>
      </c>
      <c r="B19" s="261"/>
      <c r="C19" s="261"/>
      <c r="D19" s="262"/>
      <c r="E19" s="30">
        <f>ROUND(1-(SUM(E22:E24)/1),5)</f>
        <v>0.91349999999999998</v>
      </c>
      <c r="F19" s="29">
        <f>ROUND(F17/E19,2)</f>
        <v>1460.32</v>
      </c>
    </row>
    <row r="20" spans="1:6" x14ac:dyDescent="0.35">
      <c r="A20" s="21"/>
      <c r="B20" s="21"/>
      <c r="C20" s="21"/>
      <c r="D20" s="21"/>
      <c r="E20" s="21"/>
      <c r="F20" s="21"/>
    </row>
    <row r="21" spans="1:6" x14ac:dyDescent="0.35">
      <c r="A21" s="255" t="s">
        <v>53</v>
      </c>
      <c r="B21" s="255"/>
      <c r="C21" s="255"/>
      <c r="D21" s="255"/>
      <c r="E21" s="40" t="s">
        <v>6</v>
      </c>
      <c r="F21" s="40" t="s">
        <v>7</v>
      </c>
    </row>
    <row r="22" spans="1:6" x14ac:dyDescent="0.35">
      <c r="A22" s="201" t="s">
        <v>54</v>
      </c>
      <c r="B22" s="201"/>
      <c r="C22" s="201"/>
      <c r="D22" s="201"/>
      <c r="E22" s="14">
        <v>0.05</v>
      </c>
      <c r="F22" s="5">
        <f>ROUND($F$19*E22,2)</f>
        <v>73.02</v>
      </c>
    </row>
    <row r="23" spans="1:6" x14ac:dyDescent="0.35">
      <c r="A23" s="203" t="s">
        <v>55</v>
      </c>
      <c r="B23" s="203"/>
      <c r="C23" s="203"/>
      <c r="D23" s="203"/>
      <c r="E23" s="55">
        <v>0.03</v>
      </c>
      <c r="F23" s="42">
        <f>ROUND($F$19*E23,2)</f>
        <v>43.81</v>
      </c>
    </row>
    <row r="24" spans="1:6" x14ac:dyDescent="0.35">
      <c r="A24" s="201" t="s">
        <v>56</v>
      </c>
      <c r="B24" s="201"/>
      <c r="C24" s="201"/>
      <c r="D24" s="201"/>
      <c r="E24" s="14">
        <v>6.4999999999999997E-3</v>
      </c>
      <c r="F24" s="5">
        <f>ROUND($F$19*E24,2)</f>
        <v>9.49</v>
      </c>
    </row>
    <row r="25" spans="1:6" ht="24.5" customHeight="1" x14ac:dyDescent="0.35">
      <c r="A25" s="217" t="s">
        <v>119</v>
      </c>
      <c r="B25" s="217"/>
      <c r="C25" s="217"/>
      <c r="D25" s="217"/>
      <c r="E25" s="30">
        <f>ROUND(SUM(E22:E24),5)</f>
        <v>8.6499999999999994E-2</v>
      </c>
      <c r="F25" s="29">
        <f>ROUND(SUM(F22:F24),2)</f>
        <v>126.32</v>
      </c>
    </row>
    <row r="26" spans="1:6" x14ac:dyDescent="0.35">
      <c r="A26" s="21"/>
      <c r="B26" s="21"/>
      <c r="C26" s="21"/>
      <c r="D26" s="21"/>
      <c r="E26" s="21"/>
      <c r="F26" s="21"/>
    </row>
    <row r="27" spans="1:6" x14ac:dyDescent="0.35">
      <c r="A27" s="217" t="s">
        <v>173</v>
      </c>
      <c r="B27" s="217"/>
      <c r="C27" s="217"/>
      <c r="D27" s="217"/>
      <c r="E27" s="217"/>
      <c r="F27" s="39">
        <f>ROUND(F17+F25,2)</f>
        <v>1460.32</v>
      </c>
    </row>
    <row r="28" spans="1:6" x14ac:dyDescent="0.35">
      <c r="A28" s="217" t="s">
        <v>110</v>
      </c>
      <c r="B28" s="217"/>
      <c r="C28" s="217"/>
      <c r="D28" s="217"/>
      <c r="E28" s="217"/>
      <c r="F28" s="39">
        <f>ROUND(F27*E3,2)</f>
        <v>8761.92</v>
      </c>
    </row>
    <row r="29" spans="1:6" x14ac:dyDescent="0.35">
      <c r="A29" s="217" t="s">
        <v>111</v>
      </c>
      <c r="B29" s="217"/>
      <c r="C29" s="217"/>
      <c r="D29" s="217"/>
      <c r="E29" s="217"/>
      <c r="F29" s="39">
        <f>ROUND(F28/12,2)</f>
        <v>730.16</v>
      </c>
    </row>
  </sheetData>
  <mergeCells count="25">
    <mergeCell ref="A25:D25"/>
    <mergeCell ref="A27:E27"/>
    <mergeCell ref="A28:E28"/>
    <mergeCell ref="A29:E29"/>
    <mergeCell ref="A19:D19"/>
    <mergeCell ref="A22:D22"/>
    <mergeCell ref="A13:D13"/>
    <mergeCell ref="A23:D23"/>
    <mergeCell ref="A24:D24"/>
    <mergeCell ref="A14:D14"/>
    <mergeCell ref="A15:D15"/>
    <mergeCell ref="A21:D21"/>
    <mergeCell ref="A17:E17"/>
    <mergeCell ref="A12:D12"/>
    <mergeCell ref="A1:F1"/>
    <mergeCell ref="A2:B2"/>
    <mergeCell ref="C2:D2"/>
    <mergeCell ref="E2:F2"/>
    <mergeCell ref="A3:B3"/>
    <mergeCell ref="C3:D3"/>
    <mergeCell ref="E3:F3"/>
    <mergeCell ref="A5:F5"/>
    <mergeCell ref="A6:E6"/>
    <mergeCell ref="A7:E7"/>
    <mergeCell ref="A11:F11"/>
  </mergeCells>
  <pageMargins left="0.23622047244094491" right="0.23622047244094491" top="1.3385826771653544" bottom="0.74803149606299213" header="0.9055118110236221" footer="0.31496062992125984"/>
  <pageSetup fitToHeight="0" orientation="landscape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32</vt:i4>
      </vt:variant>
      <vt:variant>
        <vt:lpstr>Intervalos Nomeados</vt:lpstr>
      </vt:variant>
      <vt:variant>
        <vt:i4>31</vt:i4>
      </vt:variant>
    </vt:vector>
  </HeadingPairs>
  <TitlesOfParts>
    <vt:vector size="63" baseType="lpstr">
      <vt:lpstr>Quantidade de Cargo</vt:lpstr>
      <vt:lpstr>Modelo de Proposta</vt:lpstr>
      <vt:lpstr>Salario Base</vt:lpstr>
      <vt:lpstr>Quantidade de Hora-Extra</vt:lpstr>
      <vt:lpstr>Dados de Passagens e Diarias</vt:lpstr>
      <vt:lpstr>Quadro de Resumo dos Custos</vt:lpstr>
      <vt:lpstr>A. Departamento Pessoal</vt:lpstr>
      <vt:lpstr>A. Jurídico</vt:lpstr>
      <vt:lpstr>Arquivista</vt:lpstr>
      <vt:lpstr>Assist. Administrativo I</vt:lpstr>
      <vt:lpstr>Assist. Administrativo II</vt:lpstr>
      <vt:lpstr>Assist. Contábil II</vt:lpstr>
      <vt:lpstr>Assist. Comunicação</vt:lpstr>
      <vt:lpstr>Assist. Financeiro I</vt:lpstr>
      <vt:lpstr>Copeiro II</vt:lpstr>
      <vt:lpstr>Designer Gráfico</vt:lpstr>
      <vt:lpstr>Motorista</vt:lpstr>
      <vt:lpstr>Oficial de Manutenção</vt:lpstr>
      <vt:lpstr>Técnico de Suporte I</vt:lpstr>
      <vt:lpstr>Técnico de Suporte II</vt:lpstr>
      <vt:lpstr>Uniforme Tipo I</vt:lpstr>
      <vt:lpstr>Uniforme Tipo II</vt:lpstr>
      <vt:lpstr>Manutenção Equip.</vt:lpstr>
      <vt:lpstr>EPI's</vt:lpstr>
      <vt:lpstr>Previsão de Hora-Extra</vt:lpstr>
      <vt:lpstr>Hr-Extra Copeira II</vt:lpstr>
      <vt:lpstr>Hr-Extra Motorista</vt:lpstr>
      <vt:lpstr>Hr-Extra Oficial de Manutenção</vt:lpstr>
      <vt:lpstr>Hr-Extra Técnico de Suporte I</vt:lpstr>
      <vt:lpstr>Hr-Extra Técnico de Suporte II</vt:lpstr>
      <vt:lpstr>Diarias</vt:lpstr>
      <vt:lpstr>Passagens</vt:lpstr>
      <vt:lpstr>'A. Departamento Pessoal'!Area_de_impressao</vt:lpstr>
      <vt:lpstr>'A. Jurídico'!Area_de_impressao</vt:lpstr>
      <vt:lpstr>Arquivista!Area_de_impressao</vt:lpstr>
      <vt:lpstr>'Assist. Administrativo I'!Area_de_impressao</vt:lpstr>
      <vt:lpstr>'Assist. Administrativo II'!Area_de_impressao</vt:lpstr>
      <vt:lpstr>'Assist. Comunicação'!Area_de_impressao</vt:lpstr>
      <vt:lpstr>'Assist. Contábil II'!Area_de_impressao</vt:lpstr>
      <vt:lpstr>'Assist. Financeiro I'!Area_de_impressao</vt:lpstr>
      <vt:lpstr>'Copeiro II'!Area_de_impressao</vt:lpstr>
      <vt:lpstr>'Dados de Passagens e Diarias'!Area_de_impressao</vt:lpstr>
      <vt:lpstr>'Designer Gráfico'!Area_de_impressao</vt:lpstr>
      <vt:lpstr>Diarias!Area_de_impressao</vt:lpstr>
      <vt:lpstr>'Hr-Extra Copeira II'!Area_de_impressao</vt:lpstr>
      <vt:lpstr>'Hr-Extra Motorista'!Area_de_impressao</vt:lpstr>
      <vt:lpstr>'Hr-Extra Oficial de Manutenção'!Area_de_impressao</vt:lpstr>
      <vt:lpstr>'Hr-Extra Técnico de Suporte I'!Area_de_impressao</vt:lpstr>
      <vt:lpstr>'Hr-Extra Técnico de Suporte II'!Area_de_impressao</vt:lpstr>
      <vt:lpstr>'Manutenção Equip.'!Area_de_impressao</vt:lpstr>
      <vt:lpstr>'Modelo de Proposta'!Area_de_impressao</vt:lpstr>
      <vt:lpstr>Motorista!Area_de_impressao</vt:lpstr>
      <vt:lpstr>'Oficial de Manutenção'!Area_de_impressao</vt:lpstr>
      <vt:lpstr>Passagens!Area_de_impressao</vt:lpstr>
      <vt:lpstr>'Previsão de Hora-Extra'!Area_de_impressao</vt:lpstr>
      <vt:lpstr>'Quadro de Resumo dos Custos'!Area_de_impressao</vt:lpstr>
      <vt:lpstr>'Quantidade de Cargo'!Area_de_impressao</vt:lpstr>
      <vt:lpstr>'Quantidade de Hora-Extra'!Area_de_impressao</vt:lpstr>
      <vt:lpstr>'Salario Base'!Area_de_impressao</vt:lpstr>
      <vt:lpstr>'Técnico de Suporte I'!Area_de_impressao</vt:lpstr>
      <vt:lpstr>'Técnico de Suporte II'!Area_de_impressao</vt:lpstr>
      <vt:lpstr>'Uniforme Tipo I'!Area_de_impressao</vt:lpstr>
      <vt:lpstr>'Uniforme Tipo II'!Area_de_impressao</vt:lpstr>
    </vt:vector>
  </TitlesOfParts>
  <Company>Conselho Federal de Enfermagem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Abraao Azevedo</dc:creator>
  <cp:lastModifiedBy>Abraao Azevedo</cp:lastModifiedBy>
  <cp:lastPrinted>2022-07-26T19:43:15Z</cp:lastPrinted>
  <dcterms:created xsi:type="dcterms:W3CDTF">2019-11-11T13:48:18Z</dcterms:created>
  <dcterms:modified xsi:type="dcterms:W3CDTF">2022-09-19T21:55:17Z</dcterms:modified>
</cp:coreProperties>
</file>