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V:\PROCESSOS LICITATÓRIOS\2023\2. Andamento\PAD 370 - Demanda para nova contratação de empresa prestadora de serviço de limpeza e conservação\"/>
    </mc:Choice>
  </mc:AlternateContent>
  <xr:revisionPtr revIDLastSave="0" documentId="13_ncr:1_{0DF7E5AF-E4EC-4085-89B7-12EDC79E8CAD}" xr6:coauthVersionLast="47" xr6:coauthVersionMax="47" xr10:uidLastSave="{00000000-0000-0000-0000-000000000000}"/>
  <bookViews>
    <workbookView xWindow="15855" yWindow="-11640" windowWidth="20730" windowHeight="11040" firstSheet="3" activeTab="3" xr2:uid="{425700BB-CCA3-465F-BE4A-3E280126D125}"/>
  </bookViews>
  <sheets>
    <sheet name="Quantidade de Cargo" sheetId="64" state="hidden" r:id="rId1"/>
    <sheet name="Quantidade de Hora-Extra" sheetId="31" state="hidden" r:id="rId2"/>
    <sheet name="Dados de Passagens e Diarias" sheetId="69" state="hidden" r:id="rId3"/>
    <sheet name="Quadro Geral de Custo" sheetId="71" r:id="rId4"/>
    <sheet name="Agente de Limpeza" sheetId="35" r:id="rId5"/>
    <sheet name="Agente de Limpeza Hab" sheetId="93" r:id="rId6"/>
    <sheet name="Uniforme" sheetId="80" r:id="rId7"/>
    <sheet name="EPIs" sheetId="94" r:id="rId8"/>
    <sheet name="Manutenção Equip. 2" sheetId="82" r:id="rId9"/>
    <sheet name="Manutenção Equip. 1" sheetId="95" r:id="rId10"/>
    <sheet name="Material de Limpeza" sheetId="96" r:id="rId11"/>
  </sheets>
  <definedNames>
    <definedName name="_xlnm.Print_Area" localSheetId="4">'Agente de Limpeza'!$A$1:$L$113</definedName>
    <definedName name="_xlnm.Print_Area" localSheetId="5">'Agente de Limpeza Hab'!$A$1:$L$113</definedName>
    <definedName name="_xlnm.Print_Area" localSheetId="2">'Dados de Passagens e Diarias'!$A$1:$E$6</definedName>
    <definedName name="_xlnm.Print_Area" localSheetId="7">EPIs!$A$1:$F$10</definedName>
    <definedName name="_xlnm.Print_Area" localSheetId="9">'Manutenção Equip. 1'!$A$1:$F$18</definedName>
    <definedName name="_xlnm.Print_Area" localSheetId="8">'Manutenção Equip. 2'!$A$1:$F$20</definedName>
    <definedName name="_xlnm.Print_Area" localSheetId="10">'Material de Limpeza'!$A$1:$F$55</definedName>
    <definedName name="_xlnm.Print_Area" localSheetId="3">'Quadro Geral de Custo'!$A$1:$H$22</definedName>
    <definedName name="_xlnm.Print_Area" localSheetId="0">'Quantidade de Cargo'!$A$1:$R$39</definedName>
    <definedName name="_xlnm.Print_Area" localSheetId="1">'Quantidade de Hora-Extra'!$A$1:$F$9</definedName>
    <definedName name="_xlnm.Print_Area" localSheetId="6">Uniforme!$A$1:$F$12</definedName>
  </definedNames>
  <calcPr calcId="191029"/>
</workbook>
</file>

<file path=xl/calcChain.xml><?xml version="1.0" encoding="utf-8"?>
<calcChain xmlns="http://schemas.openxmlformats.org/spreadsheetml/2006/main">
  <c r="C53" i="96" l="1"/>
  <c r="C48" i="96"/>
  <c r="F37" i="96"/>
  <c r="F36" i="96"/>
  <c r="F35" i="96"/>
  <c r="F34" i="96"/>
  <c r="F33" i="96"/>
  <c r="F32" i="96"/>
  <c r="F31" i="96"/>
  <c r="F30" i="96"/>
  <c r="F29" i="96"/>
  <c r="F28" i="96"/>
  <c r="F27" i="96"/>
  <c r="F26" i="96"/>
  <c r="F25" i="96"/>
  <c r="F24" i="96"/>
  <c r="F23" i="96"/>
  <c r="F22" i="96"/>
  <c r="F21" i="96"/>
  <c r="F20" i="96"/>
  <c r="F19" i="96"/>
  <c r="F18" i="96"/>
  <c r="F17" i="96"/>
  <c r="F16" i="96"/>
  <c r="F15" i="96"/>
  <c r="F14" i="96"/>
  <c r="F13" i="96"/>
  <c r="F12" i="96"/>
  <c r="F11" i="96"/>
  <c r="F10" i="96"/>
  <c r="F9" i="96"/>
  <c r="F8" i="96"/>
  <c r="F7" i="96"/>
  <c r="F6" i="96"/>
  <c r="F5" i="96"/>
  <c r="F4" i="96"/>
  <c r="F3" i="96"/>
  <c r="A4" i="94"/>
  <c r="F38" i="96" l="1"/>
  <c r="D43" i="96" s="1"/>
  <c r="D44" i="96" l="1"/>
  <c r="F43" i="96"/>
  <c r="F44" i="96" s="1"/>
  <c r="D47" i="96" l="1"/>
  <c r="F47" i="96" s="1"/>
  <c r="D46" i="96"/>
  <c r="F46" i="96" s="1"/>
  <c r="A4" i="96"/>
  <c r="A5" i="96" s="1"/>
  <c r="A6" i="96" s="1"/>
  <c r="A7" i="96" s="1"/>
  <c r="A8" i="96" s="1"/>
  <c r="A9" i="96" s="1"/>
  <c r="A10" i="96" s="1"/>
  <c r="A11" i="96" s="1"/>
  <c r="A12" i="96" s="1"/>
  <c r="A13" i="96" s="1"/>
  <c r="A14" i="96" s="1"/>
  <c r="A15" i="96" s="1"/>
  <c r="A16" i="96" s="1"/>
  <c r="A17" i="96" s="1"/>
  <c r="A18" i="96" s="1"/>
  <c r="A19" i="96" s="1"/>
  <c r="A20" i="96" s="1"/>
  <c r="A21" i="96" s="1"/>
  <c r="A22" i="96" s="1"/>
  <c r="A23" i="96" s="1"/>
  <c r="A24" i="96" s="1"/>
  <c r="A25" i="96" s="1"/>
  <c r="A26" i="96" s="1"/>
  <c r="A27" i="96" s="1"/>
  <c r="A28" i="96" s="1"/>
  <c r="A29" i="96" s="1"/>
  <c r="A30" i="96" s="1"/>
  <c r="A31" i="96" s="1"/>
  <c r="A32" i="96" s="1"/>
  <c r="A33" i="96" s="1"/>
  <c r="A34" i="96" s="1"/>
  <c r="A35" i="96" s="1"/>
  <c r="A36" i="96" s="1"/>
  <c r="D75" i="35"/>
  <c r="F4" i="95"/>
  <c r="F3" i="95"/>
  <c r="F5" i="95" s="1"/>
  <c r="A4" i="95"/>
  <c r="F4" i="94"/>
  <c r="F3" i="94"/>
  <c r="A3" i="94"/>
  <c r="F6" i="80"/>
  <c r="F5" i="80"/>
  <c r="F7" i="80" s="1"/>
  <c r="F8" i="80" s="1"/>
  <c r="D73" i="93" s="1"/>
  <c r="F4" i="80"/>
  <c r="F3" i="80"/>
  <c r="B5" i="71"/>
  <c r="C94" i="93"/>
  <c r="C88" i="93"/>
  <c r="C84" i="93"/>
  <c r="D72" i="93"/>
  <c r="D71" i="93"/>
  <c r="D70" i="93"/>
  <c r="D68" i="93"/>
  <c r="D69" i="93" s="1"/>
  <c r="D67" i="93"/>
  <c r="D66" i="93"/>
  <c r="D65" i="93"/>
  <c r="C57" i="93"/>
  <c r="C58" i="93" s="1"/>
  <c r="D105" i="93" s="1"/>
  <c r="C52" i="93"/>
  <c r="C42" i="93"/>
  <c r="C53" i="93" s="1"/>
  <c r="C41" i="93"/>
  <c r="C40" i="93"/>
  <c r="C39" i="93"/>
  <c r="C35" i="93"/>
  <c r="C34" i="93"/>
  <c r="C43" i="93" s="1"/>
  <c r="C33" i="93"/>
  <c r="C32" i="93"/>
  <c r="C31" i="93"/>
  <c r="C30" i="93"/>
  <c r="C29" i="93"/>
  <c r="C28" i="93"/>
  <c r="C25" i="93"/>
  <c r="D100" i="93" s="1"/>
  <c r="D12" i="93"/>
  <c r="D13" i="93" s="1"/>
  <c r="D72" i="35"/>
  <c r="D71" i="35"/>
  <c r="C25" i="35"/>
  <c r="C57" i="35" s="1"/>
  <c r="C58" i="35" s="1"/>
  <c r="F48" i="96" l="1"/>
  <c r="D48" i="96"/>
  <c r="A37" i="96"/>
  <c r="F7" i="95"/>
  <c r="F6" i="95"/>
  <c r="C44" i="93"/>
  <c r="D102" i="93" s="1"/>
  <c r="C36" i="93"/>
  <c r="D101" i="93" s="1"/>
  <c r="F5" i="94"/>
  <c r="F6" i="94" s="1"/>
  <c r="D21" i="93"/>
  <c r="D42" i="93"/>
  <c r="D32" i="93"/>
  <c r="D28" i="93"/>
  <c r="D20" i="93"/>
  <c r="D19" i="93"/>
  <c r="D22" i="93"/>
  <c r="D29" i="93"/>
  <c r="D53" i="93"/>
  <c r="D41" i="93"/>
  <c r="D35" i="93"/>
  <c r="D31" i="93"/>
  <c r="D18" i="93"/>
  <c r="D34" i="93"/>
  <c r="D24" i="93"/>
  <c r="D23" i="93"/>
  <c r="D57" i="93"/>
  <c r="D58" i="93" s="1"/>
  <c r="D39" i="93"/>
  <c r="D17" i="93"/>
  <c r="D52" i="93"/>
  <c r="D40" i="93"/>
  <c r="D30" i="93"/>
  <c r="D43" i="93"/>
  <c r="D33" i="93"/>
  <c r="C109" i="93"/>
  <c r="C47" i="93"/>
  <c r="C48" i="93" s="1"/>
  <c r="D103" i="93" s="1"/>
  <c r="C51" i="93"/>
  <c r="C54" i="93" s="1"/>
  <c r="D104" i="93" s="1"/>
  <c r="C42" i="35"/>
  <c r="C53" i="35" s="1"/>
  <c r="C40" i="35"/>
  <c r="C35" i="35"/>
  <c r="C34" i="35"/>
  <c r="C43" i="35" s="1"/>
  <c r="C33" i="35"/>
  <c r="C32" i="35"/>
  <c r="C52" i="35" s="1"/>
  <c r="C31" i="35"/>
  <c r="C29" i="35"/>
  <c r="C28" i="35"/>
  <c r="A3" i="80"/>
  <c r="A4" i="80" s="1"/>
  <c r="A5" i="80" s="1"/>
  <c r="A6" i="80" s="1"/>
  <c r="B4" i="71"/>
  <c r="A6" i="82"/>
  <c r="A5" i="82"/>
  <c r="A4" i="82"/>
  <c r="F4" i="82"/>
  <c r="F5" i="82"/>
  <c r="F6" i="82"/>
  <c r="D68" i="35"/>
  <c r="D51" i="96" l="1"/>
  <c r="F51" i="96" s="1"/>
  <c r="D50" i="96"/>
  <c r="D52" i="96"/>
  <c r="F52" i="96" s="1"/>
  <c r="D74" i="35"/>
  <c r="D74" i="93"/>
  <c r="F8" i="95"/>
  <c r="D106" i="93"/>
  <c r="D44" i="93"/>
  <c r="D36" i="93"/>
  <c r="D51" i="93"/>
  <c r="D54" i="93" s="1"/>
  <c r="D25" i="93"/>
  <c r="D47" i="93"/>
  <c r="D48" i="93" s="1"/>
  <c r="C59" i="93"/>
  <c r="A3" i="82"/>
  <c r="F3" i="82"/>
  <c r="F7" i="82" s="1"/>
  <c r="F50" i="96" l="1"/>
  <c r="F53" i="96" s="1"/>
  <c r="F54" i="96" s="1"/>
  <c r="D53" i="96"/>
  <c r="D54" i="96" s="1"/>
  <c r="G9" i="71" s="1"/>
  <c r="F9" i="71" s="1"/>
  <c r="D59" i="93"/>
  <c r="F8" i="82"/>
  <c r="F9" i="82"/>
  <c r="D73" i="35" l="1"/>
  <c r="C110" i="93"/>
  <c r="D61" i="93"/>
  <c r="F10" i="82"/>
  <c r="D75" i="93" s="1"/>
  <c r="D76" i="93" l="1"/>
  <c r="C111" i="93" s="1"/>
  <c r="D78" i="93" l="1"/>
  <c r="D83" i="93" s="1"/>
  <c r="D70" i="35"/>
  <c r="D67" i="35"/>
  <c r="D65" i="35"/>
  <c r="E8" i="31"/>
  <c r="F8" i="31" s="1"/>
  <c r="E6" i="31"/>
  <c r="F6" i="31" s="1"/>
  <c r="E5" i="31"/>
  <c r="F5" i="31" s="1"/>
  <c r="E4" i="31"/>
  <c r="F4" i="31" s="1"/>
  <c r="A8" i="31"/>
  <c r="A7" i="31"/>
  <c r="A6" i="31"/>
  <c r="A5" i="31"/>
  <c r="A4" i="31"/>
  <c r="D38" i="64"/>
  <c r="C38" i="64"/>
  <c r="B38" i="64"/>
  <c r="E37" i="64"/>
  <c r="E36" i="64"/>
  <c r="E35" i="64"/>
  <c r="E34" i="64"/>
  <c r="E33" i="64"/>
  <c r="E32" i="64"/>
  <c r="E31" i="64"/>
  <c r="E30" i="64"/>
  <c r="E29" i="64"/>
  <c r="E28" i="64"/>
  <c r="E27" i="64"/>
  <c r="E26" i="64"/>
  <c r="E25" i="64"/>
  <c r="E24" i="64"/>
  <c r="R17" i="64"/>
  <c r="R16" i="64"/>
  <c r="B9" i="31"/>
  <c r="F18" i="71"/>
  <c r="E5" i="69"/>
  <c r="B4" i="69"/>
  <c r="D9" i="31"/>
  <c r="C9" i="31"/>
  <c r="E7" i="31"/>
  <c r="F7" i="31" s="1"/>
  <c r="R8" i="64"/>
  <c r="R7" i="64"/>
  <c r="D82" i="93" l="1"/>
  <c r="D84" i="93" s="1"/>
  <c r="D86" i="93" s="1"/>
  <c r="D88" i="93" s="1"/>
  <c r="D91" i="93" s="1"/>
  <c r="D66" i="35"/>
  <c r="D76" i="35" s="1"/>
  <c r="D6" i="71"/>
  <c r="D69" i="35"/>
  <c r="E38" i="64"/>
  <c r="F9" i="31"/>
  <c r="E9" i="31"/>
  <c r="D92" i="93" l="1"/>
  <c r="D93" i="93"/>
  <c r="D94" i="93" l="1"/>
  <c r="C112" i="93" s="1"/>
  <c r="D96" i="93" l="1"/>
  <c r="D97" i="93" s="1"/>
  <c r="C113" i="93"/>
  <c r="E5" i="71" l="1"/>
  <c r="D109" i="93"/>
  <c r="D111" i="93"/>
  <c r="D110" i="93"/>
  <c r="D112" i="93"/>
  <c r="D113" i="93" l="1"/>
  <c r="Q18" i="64" l="1"/>
  <c r="P18" i="64"/>
  <c r="O18" i="64"/>
  <c r="N18" i="64"/>
  <c r="M18" i="64"/>
  <c r="L18" i="64"/>
  <c r="K18" i="64"/>
  <c r="J18" i="64"/>
  <c r="I18" i="64"/>
  <c r="H18" i="64"/>
  <c r="G18" i="64"/>
  <c r="F18" i="64"/>
  <c r="E18" i="64"/>
  <c r="D18" i="64"/>
  <c r="C18" i="64"/>
  <c r="B18" i="64"/>
  <c r="R15" i="64"/>
  <c r="R14" i="64"/>
  <c r="R13" i="64"/>
  <c r="R12" i="64"/>
  <c r="R11" i="64"/>
  <c r="R10" i="64"/>
  <c r="R9" i="64"/>
  <c r="R6" i="64"/>
  <c r="R5" i="64"/>
  <c r="R4" i="64"/>
  <c r="C94" i="35"/>
  <c r="C88" i="35"/>
  <c r="C84" i="35"/>
  <c r="C41" i="35"/>
  <c r="C39" i="35"/>
  <c r="C30" i="35"/>
  <c r="C36" i="35" s="1"/>
  <c r="C47" i="35" l="1"/>
  <c r="C44" i="35"/>
  <c r="C51" i="35"/>
  <c r="C54" i="35" s="1"/>
  <c r="D104" i="35" s="1"/>
  <c r="D101" i="35"/>
  <c r="D105" i="35"/>
  <c r="R18" i="64"/>
  <c r="D12" i="35"/>
  <c r="D13" i="35" s="1"/>
  <c r="D102" i="35"/>
  <c r="C111" i="35"/>
  <c r="D100" i="35"/>
  <c r="C109" i="35" l="1"/>
  <c r="D43" i="35"/>
  <c r="D41" i="35"/>
  <c r="D42" i="35"/>
  <c r="D53" i="35"/>
  <c r="D52" i="35"/>
  <c r="C48" i="35"/>
  <c r="D39" i="35"/>
  <c r="D44" i="35" s="1"/>
  <c r="D19" i="35"/>
  <c r="D18" i="35"/>
  <c r="D57" i="35"/>
  <c r="D58" i="35" s="1"/>
  <c r="D35" i="35"/>
  <c r="D17" i="35"/>
  <c r="D33" i="35"/>
  <c r="D23" i="35"/>
  <c r="D32" i="35"/>
  <c r="D22" i="35"/>
  <c r="D40" i="35"/>
  <c r="D31" i="35"/>
  <c r="D21" i="35"/>
  <c r="D30" i="35"/>
  <c r="D20" i="35"/>
  <c r="D29" i="35"/>
  <c r="D51" i="35"/>
  <c r="D54" i="35" s="1"/>
  <c r="D28" i="35"/>
  <c r="D34" i="35"/>
  <c r="D24" i="35"/>
  <c r="D36" i="35" l="1"/>
  <c r="D103" i="35"/>
  <c r="D106" i="35" s="1"/>
  <c r="C59" i="35"/>
  <c r="D47" i="35"/>
  <c r="D48" i="35" s="1"/>
  <c r="D25" i="35"/>
  <c r="D59" i="35" l="1"/>
  <c r="D61" i="35" l="1"/>
  <c r="D78" i="35" s="1"/>
  <c r="C110" i="35"/>
  <c r="D82" i="35" l="1"/>
  <c r="D83" i="35"/>
  <c r="D84" i="35" l="1"/>
  <c r="D86" i="35" s="1"/>
  <c r="D88" i="35" s="1"/>
  <c r="D91" i="35" l="1"/>
  <c r="D92" i="35"/>
  <c r="D93" i="35"/>
  <c r="F10" i="71"/>
  <c r="D94" i="35" l="1"/>
  <c r="G10" i="71"/>
  <c r="F14" i="71" s="1"/>
  <c r="F15" i="71" l="1"/>
  <c r="F13" i="71"/>
  <c r="D96" i="35"/>
  <c r="C112" i="35"/>
  <c r="H9" i="71"/>
  <c r="H10" i="71" s="1"/>
  <c r="C113" i="35" l="1"/>
  <c r="D112" i="35" s="1"/>
  <c r="D97" i="35"/>
  <c r="F5" i="71" s="1"/>
  <c r="G5" i="71" s="1"/>
  <c r="H5" i="71" s="1"/>
  <c r="E4" i="71"/>
  <c r="E6" i="71" l="1"/>
  <c r="F4" i="71"/>
  <c r="D111" i="35"/>
  <c r="D110" i="35"/>
  <c r="D109" i="35"/>
  <c r="D113" i="35" l="1"/>
  <c r="F6" i="71"/>
  <c r="G4" i="71"/>
  <c r="G6" i="71" l="1"/>
  <c r="H4" i="71"/>
  <c r="H6" i="71" s="1"/>
</calcChain>
</file>

<file path=xl/sharedStrings.xml><?xml version="1.0" encoding="utf-8"?>
<sst xmlns="http://schemas.openxmlformats.org/spreadsheetml/2006/main" count="880" uniqueCount="327">
  <si>
    <t>PLANILHA ORÇAMENTÁRIA DE REFERÊNCIA DE FORMAÇÃO DE CUSTO DE MÃO DE OBRA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</si>
  <si>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</si>
  <si>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</si>
  <si>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</si>
  <si>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</si>
  <si>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</si>
  <si>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</si>
  <si>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</si>
  <si>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</si>
  <si>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</si>
  <si>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Art. 2°, § 3º, da Lei 11.457, de 16 de março de 2007.</t>
  </si>
  <si>
    <t>Art. 15, Lei nº 8.036/90 e Art. 7º, III, CF.</t>
  </si>
  <si>
    <t>Art. 30, Lei 8.036, de 11 de maio de 1990.</t>
  </si>
  <si>
    <t>Art. 1º, caput, Decreto-Lei 6.246, de 1944 (SENAI) e art. 4º, caput do Decreto-Lei 8.621, de 1946. (SENAC).</t>
  </si>
  <si>
    <t>Art. 1°, I, 2 c/c art. 3°, ambos do Decreto-Lei 1.146, de 31 de dezembro de 1970.</t>
  </si>
  <si>
    <t>Art. 8º, Lei 8.029, de 12 de abril de 1990.</t>
  </si>
  <si>
    <t>Art. 3º, Inciso I, Decreto 87.043, de 22 de março de 1982.</t>
  </si>
  <si>
    <t>[(1/12)x100] = 8,333% - Art. 7º, VIII, CF/88</t>
  </si>
  <si>
    <t>FUNDAMENTO/METODOLOGIA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</si>
  <si>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</si>
  <si>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</si>
  <si>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</si>
  <si>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</si>
  <si>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</si>
  <si>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</si>
  <si>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</si>
  <si>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</si>
  <si>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</si>
  <si>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</si>
  <si>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</si>
  <si>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</si>
  <si>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</si>
  <si>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</si>
  <si>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</si>
  <si>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</si>
  <si>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</si>
  <si>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</si>
  <si>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</si>
  <si>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</si>
  <si>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[(100% / 30) x 7] / 12 = 1,944% - Art. 7º, XXI, CF/88, 477, 487 e ss. da CLT</t>
  </si>
  <si>
    <t>INFORMAÇÕES COMPLEMENTARES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</si>
  <si>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</si>
  <si>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</si>
  <si>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</si>
  <si>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</si>
  <si>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</si>
  <si>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{[0,05x(1/12)]x100} = 0,417% - Art. 7º, XXI, CF/88, 477, 487 e ss. CLT</t>
  </si>
  <si>
    <t>(1x0,40x0,08x100) = 3,200% - Art. 18, §1º da Lei 8.036/90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</si>
  <si>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</si>
  <si>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</si>
  <si>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</si>
  <si>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</si>
  <si>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</si>
  <si>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TOTAL - GRUPO E</t>
  </si>
  <si>
    <t>A.02 x C.01 = (0,08x0,00417)x100 0,033% - Súmula nº 305 do TST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</si>
  <si>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</si>
  <si>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</si>
  <si>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</si>
  <si>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</si>
  <si>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</si>
  <si>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Insumos</t>
  </si>
  <si>
    <t>Uniforme</t>
  </si>
  <si>
    <t>TOTAL - INSUMOS (R$)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</si>
  <si>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</si>
  <si>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</si>
  <si>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</si>
  <si>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</si>
  <si>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</si>
  <si>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</si>
  <si>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</si>
  <si>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</si>
  <si>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</si>
  <si>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</si>
  <si>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</si>
  <si>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</si>
  <si>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CBO:</t>
  </si>
  <si>
    <t>Convenção Coletiva de Trabalho/Acordo/ Dissídio Coletivo de Trabalho:</t>
  </si>
  <si>
    <t>BASE DE CÁLCULO PARA TRIBUTO</t>
  </si>
  <si>
    <t>PREÇO ANUAL PARA 1 (UM) POSTO (R$) - PREÇO MENSAL X 12 MESES</t>
  </si>
  <si>
    <t>Subitem</t>
  </si>
  <si>
    <t>Outros</t>
  </si>
  <si>
    <t>Vlr. Unitário por Empregado R$
(b)</t>
  </si>
  <si>
    <t>1.0</t>
  </si>
  <si>
    <t>Elaborado por:</t>
  </si>
  <si>
    <t>Abraão dos Matos Azevedo
Assessor Técnico
Matricula Coren-AM nº 125</t>
  </si>
  <si>
    <t>SEÇÃO I - COMPOSIÇÃO DA REMUNERAÇÃO (R$)</t>
  </si>
  <si>
    <t>SEÇÃO II - ENCARGOS SOCIAIS INCIDENTES SOBRE A REMUNERAÇÃO (R$)</t>
  </si>
  <si>
    <t>SEÇÃO III - INSUMOS</t>
  </si>
  <si>
    <t>Lucro e Despesas Indiretas – LDI:
Para fins de estimativa da CONTRATANTE, em Lucro e Despesas Indiretas - LDI, foram consideradas as despesas administrativas e operacionais (5%) e a margem de lucro (10%).</t>
  </si>
  <si>
    <t>TOTAL DE REMUNERAÇÃO + ENCARGOS SOCIAIS + INSUMOS + INTRAJORNADA + LDI (R$)</t>
  </si>
  <si>
    <t>Os tributos (ISS, COFINS e PIS) foram definidos utilizando o regime de tributação de Lucro PRESUMIDO.</t>
  </si>
  <si>
    <t>TOTAL - GRUPO A   - ENCARGOS</t>
  </si>
  <si>
    <t>TOTAL ENCARGOS SOCIAIS</t>
  </si>
  <si>
    <t>Custo por Demanda</t>
  </si>
  <si>
    <t>Cesta Básica</t>
  </si>
  <si>
    <t>Plano Odontológico</t>
  </si>
  <si>
    <t>SEÇÃO IV - LDI E TRIBUTAÇÃO</t>
  </si>
  <si>
    <t>CARGO</t>
  </si>
  <si>
    <t>Auxilio Alimentação</t>
  </si>
  <si>
    <t>Desconto do Auxilio Alimentação</t>
  </si>
  <si>
    <t>Vale Transporte</t>
  </si>
  <si>
    <t>Desconto do Vale Transporte</t>
  </si>
  <si>
    <t>Dedução legal do vale transporte: O valor da dedução do vale transporte está de acordo com o art. 4º, parágrafo único da Lei 7.418, de 16 de dezembro de 1985 e Parágrafo Primeiro, da Cláusula Nona da CCT (desconto máximo de 6% do salário-base).</t>
  </si>
  <si>
    <t>QUANTIDADE ANUAL</t>
  </si>
  <si>
    <t>Setor de Divida Ativa</t>
  </si>
  <si>
    <t>Total</t>
  </si>
  <si>
    <t>QUANTIDADE DE EMPREGADOS</t>
  </si>
  <si>
    <t>Setor de Negociação</t>
  </si>
  <si>
    <t>LEGISLAÇÃO</t>
  </si>
  <si>
    <t>Unidade de Medida</t>
  </si>
  <si>
    <t>Und.</t>
  </si>
  <si>
    <t>DIARIAS ESTIMADAS</t>
  </si>
  <si>
    <t>Total por Cargo</t>
  </si>
  <si>
    <t>Total por Setor/Departamento</t>
  </si>
  <si>
    <r>
      <rPr>
        <b/>
        <sz val="10"/>
        <color theme="1"/>
        <rFont val="Arial"/>
        <family val="2"/>
      </rPr>
      <t>DECRETO-LEI Nº 5.452, DE 1º DE MAIO DE 1943</t>
    </r>
    <r>
      <rPr>
        <sz val="10"/>
        <color theme="1"/>
        <rFont val="Arial"/>
        <family val="2"/>
      </rPr>
      <t xml:space="preserve">
Art. 59.  A duração diária do trabalho poderá ser acrescida de horas extras, em número não excedente de duas, por acordo individual, convenção coletiva ou acordo coletivo de trabalho.</t>
    </r>
  </si>
  <si>
    <t>Controladoria Geral - CONTROL</t>
  </si>
  <si>
    <t>Departamento de Administração e Gestão de Pessoal - DAGEPE</t>
  </si>
  <si>
    <t>Departamento Contábil - DECON</t>
  </si>
  <si>
    <t>Departamento Financeiro - DEFIN</t>
  </si>
  <si>
    <t>Departamento de Fiscalização - DEFIS</t>
  </si>
  <si>
    <t>Departamento de Registro e Cadastro - DRC</t>
  </si>
  <si>
    <t>Procuradoria Geral - PROGER</t>
  </si>
  <si>
    <t>Secretaria Executiva - SECEX</t>
  </si>
  <si>
    <t>Setor de Comunicação - SECOM</t>
  </si>
  <si>
    <t>Setor de Licitações e Contratos - SELIC</t>
  </si>
  <si>
    <t>Setor de Tecnologia de Informação - STI</t>
  </si>
  <si>
    <t>SECEX</t>
  </si>
  <si>
    <t>SECOM</t>
  </si>
  <si>
    <t>Cargo</t>
  </si>
  <si>
    <t>PASSAGENS ESTIMADAS</t>
  </si>
  <si>
    <t>HORA-EXTRA ESTIMADA POR ANO</t>
  </si>
  <si>
    <t>QUADRO GERAL DE CUSTO</t>
  </si>
  <si>
    <t>1.1.</t>
  </si>
  <si>
    <t>Vlr. Mensal R$ (c = a x b)</t>
  </si>
  <si>
    <t>Vlr. Anual R$ (d = c x 12 meses)</t>
  </si>
  <si>
    <t>Vlr. Bienal R$ (e = d x 2 anos)</t>
  </si>
  <si>
    <t>Analista de Departamento Pessoal</t>
  </si>
  <si>
    <t>Arquivista</t>
  </si>
  <si>
    <t>Assistente Administrativo I</t>
  </si>
  <si>
    <t>Assistente Administrativo II</t>
  </si>
  <si>
    <t>Assistente Contábil II</t>
  </si>
  <si>
    <t>Assistente de Comunicação</t>
  </si>
  <si>
    <t>Assistente Financeiro I</t>
  </si>
  <si>
    <t>Copeiro II</t>
  </si>
  <si>
    <t>Designer Gráfico</t>
  </si>
  <si>
    <t>Motorista</t>
  </si>
  <si>
    <t>Oficial de Manutenção</t>
  </si>
  <si>
    <t>Técnico de Suporte I</t>
  </si>
  <si>
    <t>Técnico de Suporte II</t>
  </si>
  <si>
    <t>Corregedoria de Processos Éticos</t>
  </si>
  <si>
    <t>Setor de Arquivo e Protocolo</t>
  </si>
  <si>
    <t>Setor de Ouvidoria</t>
  </si>
  <si>
    <t>Analista Jurídico</t>
  </si>
  <si>
    <t>Total por Escolaridade</t>
  </si>
  <si>
    <t>QUANTIDADE DE CARGOS POR ESCOLARIDADE</t>
  </si>
  <si>
    <t>Nível Fundamental</t>
  </si>
  <si>
    <t>Nível Médio</t>
  </si>
  <si>
    <t>Nível Superior</t>
  </si>
  <si>
    <t>Referencia</t>
  </si>
  <si>
    <t>FONTE DOS VALORES</t>
  </si>
  <si>
    <t>Custo Total (R$)
(c = a x b)</t>
  </si>
  <si>
    <t>Valor Médio Unitário (R$)
(b)</t>
  </si>
  <si>
    <t>Qtde. Anual
(a)</t>
  </si>
  <si>
    <t>Descrição</t>
  </si>
  <si>
    <t>Uni.</t>
  </si>
  <si>
    <t>Quant. Total (a)</t>
  </si>
  <si>
    <t>Para o cálculo do insumo Depreciação de Equipamentos, adotou-se vida útil de 8 anos e valor residual de 20%, com base no Manual de Custos Rodoviários do DNIT, volume 1, de 2003.</t>
  </si>
  <si>
    <t>NOTA DEPRECIAÇÃO DOS EQUIPAMENTOS</t>
  </si>
  <si>
    <t>Valor do insumo Manutenção de Equipamentos foi obtido adotando-se a metodologia das Tabelas de Composições de Preços para Orçamentação, publicação da Editora Pini, para equipamentos de pequeno porte (aproximadamente 1,5HP), com utilização, em média, de 83h/mês, em conjunto com o Manual de Custos Rodoviários do DNIT, Volume 1, de 2003:
K = 0,6 (conforme adotado pelo Sicro2 /DNIT – Manual de Custos Rodoviários –
Volume 1, página 83);
VU = Vida Útil = 10.000 horas
V0 = Valor de aquisição do equipamento</t>
  </si>
  <si>
    <t>NOTA MANUTENÇÃO DOS EQUIPAMENTOS</t>
  </si>
  <si>
    <t>Custo Mensal Manut. Depre. dos Equipamentos (R$) (Custo Mensal Manutenção + Depreciação) →</t>
  </si>
  <si>
    <t>Custo Mensal com a Depreciação dos Equipamentos: [Valor total dos equipamentos x (1,00-0,20)]/(12x8) →</t>
  </si>
  <si>
    <t>Custo Mensal com a Manutenção dos Equipamentos: (k x 83 x V0/VU) →</t>
  </si>
  <si>
    <t>Custo Global (R$) (∑ do Custo Total) →</t>
  </si>
  <si>
    <t>Nº de Posto (a)</t>
  </si>
  <si>
    <t>Obs.: Eventuais custos não previstos expressamente na memória de cálculo devem ser cobertos pelo LDI (Lucro e Despesas Indiretas).</t>
  </si>
  <si>
    <t>A licitante deve elaborar sua proposta e, por conseguinte, sua planilha com base no regime de tributação ao qual estará submetida durante a execução do contrato.</t>
  </si>
  <si>
    <t>Planilha de Manutenção Equipamento</t>
  </si>
  <si>
    <t>Componentes</t>
  </si>
  <si>
    <t>R$</t>
  </si>
  <si>
    <t>I - COMPOSIÇÃO DE REMUNERAÇÃO</t>
  </si>
  <si>
    <t>II - ENCARGOS SOCIAIS INCIDENTES SOBRE A REMUNERAÇÃO</t>
  </si>
  <si>
    <t>III - INSUMOS</t>
  </si>
  <si>
    <t>IV - LDI E TRIBUTAÇÃO</t>
  </si>
  <si>
    <t>TOTAL</t>
  </si>
  <si>
    <t>2.0</t>
  </si>
  <si>
    <t>2.1.</t>
  </si>
  <si>
    <t>Mão de Obra</t>
  </si>
  <si>
    <t>TOTAIS DO CONTRATO - MÃO DE OBRA + CUSTO POR DEMANDA</t>
  </si>
  <si>
    <t>Subtotal Item 2.0 R$ →</t>
  </si>
  <si>
    <r>
      <t>Subtotal Item 1.0 (</t>
    </r>
    <r>
      <rPr>
        <b/>
        <sz val="10"/>
        <color theme="1"/>
        <rFont val="Calibri"/>
        <family val="2"/>
      </rPr>
      <t>∑</t>
    </r>
    <r>
      <rPr>
        <b/>
        <sz val="10"/>
        <color theme="1"/>
        <rFont val="Arial"/>
        <family val="2"/>
      </rPr>
      <t xml:space="preserve"> dos subitens do item 1) R$ →</t>
    </r>
  </si>
  <si>
    <t>Quantidade de Posto</t>
  </si>
  <si>
    <t>QUANTIDADE DE POSTO POR DEPARTAMENTO/SETOR</t>
  </si>
  <si>
    <t>Quantidade de Hora Extra Anual de 50% Por Posto</t>
  </si>
  <si>
    <t>Quantidade de Hora Extra Anual de 100% Por Posto</t>
  </si>
  <si>
    <t>Departamento/Setor</t>
  </si>
  <si>
    <t>Quantidade Total de Hora Extra Anual Por Posto</t>
  </si>
  <si>
    <t>Quantidade Total de Hora Extra Anual Por Cargo</t>
  </si>
  <si>
    <t>Posto de 44hrs Semanais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</si>
  <si>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22
Onde: 
O valor diário é R$ 22,50, conforme Cláusula Sexta da TACCT.</t>
  </si>
  <si>
    <t>Planilha de Uniforme</t>
  </si>
  <si>
    <t>UNIFORME</t>
  </si>
  <si>
    <t>1.2.</t>
  </si>
  <si>
    <t>Agente de Limpeza</t>
  </si>
  <si>
    <t>Agente de Limpeza Habilitado para Operar Roçadeira</t>
  </si>
  <si>
    <t>5143-20</t>
  </si>
  <si>
    <t>Convenção Coletiva de Trabalho (CCT) - Nº Registro no MTE: AM000007/2023.</t>
  </si>
  <si>
    <t>Cláusula Terceira</t>
  </si>
  <si>
    <t>RAT: 3% (Serviços combinados para apoio a edifícios, exceto condomínios prediais – código 8111-7/00; Limpeza em 
prédios e em domicílios - código 8121-4/00; todos do Anexo V do Decreto nº 3.048/1999) X FAP: 2,000 (Padrão).</t>
  </si>
  <si>
    <t>B.02 Férias (sem o abono de 1/3)</t>
  </si>
  <si>
    <t xml:space="preserve">C.04 Abono de Férias - 1/3 constitucional </t>
  </si>
  <si>
    <t>C.05 Abono de Férias - 1/3 constitucional sobre licença 
maternidade</t>
  </si>
  <si>
    <t>E.02 Incidência do FGTS sobre o período médio de afastamento superior a 15 dias motivado por acidente do trabalho</t>
  </si>
  <si>
    <t>E.03 Incidência de FGTS sobre férias 1/3 constitucional</t>
  </si>
  <si>
    <t>(Benefícios de auxílio_x0002_doença urbano/População Economicamente Ativa Ocupada) / 12 = 0,222% - Art. 59 e ss. Da Lei nº 8.213/91</t>
  </si>
  <si>
    <t>{[(100% /30) x 15] / 12} x (nº CAT/População INSS CAT) = 0,051% - Art. 19 a 23 da Lei nº 8.213/91</t>
  </si>
  <si>
    <t>[(100% / 30) x 1,4947] / 12 = 0,415% - Art. 473 da CLT</t>
  </si>
  <si>
    <t>[(8,333% x 1,416% x 4/12) x 100] = 0,039% - Impacto do item férias sobre a licença maternidade</t>
  </si>
  <si>
    <t>{[(100% /30) x 5] / 12} x 1,416% = 0,020% - Art. 7º, XIX, CF/88 e 10, §1º, da ADCT</t>
  </si>
  <si>
    <t>B.03 - Redução de 7 dias ou de 2h por dia para 100 % dos empregados. Percentual relativo a contrato de 12 (doze) meses. 
B.04 - De acordo com dados do MTPS, foram concedidos 1.462.463 benefícios de auxílio-doença urbano no ano de 2013 em uma população de contribuintes para o INSS de 54.796.761 pessoas (http://www.mtps.gov.br/dados-abertos/dados-da-previdencia/previdencia-social-e-inss/boletim_x0002_estatistico-da-previdencia-social-beps). 
B.05 - Estimativa de 1 licença de 15 dias por ano para 1,22% dos empregados. Esta taxa foi obtida pela proporção de acidentes de trabalho registrados, 717.911, conforme dados do Anuário Estatístico da Previdência Social – AEPS/2013, em relação a 58.981.000 de trabalhadores que fazem jus a emissão da CAT (trabalhadores com carteira assinada, outros tipos de trabalhadores e domésticas), conforme dados da PNAD 2013. 
B.06 - Estimativa de 1,4947 ausências por ano, de acordo com a IN 2/2008-MPOG. 
B.07 - Estimativa de 1,416% (taxa de natalidade da população brasileira/IBGE) de empregadas usufruindo 4 meses de licença por ano. 
B.08 - Estimativa de 1,416% (taxa de natalidade da população brasileira/IBGE) dos empregados usufruindo 5 dias da licença por ano.</t>
  </si>
  <si>
    <t>[1/12 x 3,4275%]  = 0,286% - Art. 9º da Lei nº 7.238, de 1984</t>
  </si>
  <si>
    <t>C.01 - Estimativa de que 5% (cinco por cento) dos empregados serão substituídos durante um ano.
C.02 - Estimativa de que 3,4275% dos empregados receberão indenização de acordo com a média nacional de 12 meses (abril 2015 - março 2016) da Taxa de Rotatividade por Nível Geográfico - M.T.E./CAGED.  
C.03 - Multa de 40% do FGTS em relação aos trabalhadores contratados.</t>
  </si>
  <si>
    <t xml:space="preserve">[(1/3) / 12] = 2,778% - Art. 7º, XVII, CF/88 </t>
  </si>
  <si>
    <t>D.01 = 0,3980 x 0,19357 = 7,704%</t>
  </si>
  <si>
    <t>A.02 x B.05 = (0,08 x 0,0051) x 100 = 0,026% - Lei 8.036, de 1990, art. 15, §5º</t>
  </si>
  <si>
    <t>A.02 x C.04 = (0,08 x 0,02778) x 100 = 0,222% - Lei 8.036, de 1990, art. 15, §5º</t>
  </si>
  <si>
    <t>(1/3) x [(8,333% x 1,416% x 4/12) x 100] = 0,013% - Art. 7º, XVII, CF/88</t>
  </si>
  <si>
    <t>F.01 = (Encargos Grupo A) x (Remuneração) x 4/12 x 2%x100, em que:
Encargos do Grupo A = 0,3980;
4/12 = período de 4 meses de licença em um ano;
2% = Estimativa de que 2% dos empregados usufruirão da licença maternidade de 4 meses em um ano.
F.01 = 0,3980x(4/12)x(2/100)x100 = 0,265%</t>
  </si>
  <si>
    <t>Dedução legal do vale refeição: O valor da dedução do vale refeição está de acordo com o Parágrafo Primeiro, da Cláusula Sétima CCT (desconto máximo de 10% do Vale Refeição).</t>
  </si>
  <si>
    <t>Cláusula Oitava, da CCT.</t>
  </si>
  <si>
    <t>O vale transporte foi baseado no preço da passagem praticada na cidade de Manaus-AM (R$ 4,50), em Setembro de 2023, considerando o trajeto de ida e volta residência/Coren-AM.
Vale transporte = VTx2x26
Onde: 
O 26 é o número médio de dias efetivamente trabalhado pelos empregados no mês.</t>
  </si>
  <si>
    <t>Parágrafo Terceiro, Cláusula Décima da CCT.</t>
  </si>
  <si>
    <t>Assistência Social e Familiar</t>
  </si>
  <si>
    <t>Parágrafo Primeiro, Cláusula Décima Segunda da CCT.</t>
  </si>
  <si>
    <t>Qualificação Profissional</t>
  </si>
  <si>
    <t>Cláusula Décima Oitava da CCT.</t>
  </si>
  <si>
    <t>Conjunto de calça e blusa, em tecido Oxford, de boa qualidade, nas cores azul e branco, que não mancha ao entrar em contato com produtos de limpeza.</t>
  </si>
  <si>
    <t>Par.</t>
  </si>
  <si>
    <t>Unid.</t>
  </si>
  <si>
    <t>Custo Global do Uniforme (R$) (∑ do Custo Total) →</t>
  </si>
  <si>
    <t>Custo Mensal do Uniforme (R$) (Custo Global ÷ 12 meses) →</t>
  </si>
  <si>
    <t>Fonte de Preços</t>
  </si>
  <si>
    <t>Meias de algodão</t>
  </si>
  <si>
    <t>Botina couro solado com elástico</t>
  </si>
  <si>
    <t>Crachá com dados variáveis, incluindo foto do empregado, identificação do agente e da empresa.</t>
  </si>
  <si>
    <t>Equipamento de Proteção Individuais (EPIs)</t>
  </si>
  <si>
    <t>Máscara tripla descartável com elástico com 50 unidades</t>
  </si>
  <si>
    <t>Protetor facil incolor</t>
  </si>
  <si>
    <t>Caixa</t>
  </si>
  <si>
    <t>Custo Global do EPI (R$) (∑ do Custo Total) →</t>
  </si>
  <si>
    <t>Custo Mensal do EPIs (R$) (Custo Global ÷ 12 meses) →</t>
  </si>
  <si>
    <t>Roçadeira</t>
  </si>
  <si>
    <t>Kit de laminas nylon 3 e 2 pontas</t>
  </si>
  <si>
    <t>Carro de limpeza profissional funcional américa que respeita às indicações das NR's 32 e 17</t>
  </si>
  <si>
    <t>Balde doblô 30lts com espremedor com pressão superior e rodízios para facilitar o deslocamento</t>
  </si>
  <si>
    <t>Equipamento de Proteção Individual (EPIs)</t>
  </si>
  <si>
    <t>MANUTENÇÃO DE EQUIPAMENTO TIPO 1</t>
  </si>
  <si>
    <t>MANUTENÇÃO DE EQUIPAMENTO TIPO 2</t>
  </si>
  <si>
    <t>Manutenção de Equipamento Tipo 1</t>
  </si>
  <si>
    <t>Manutenção de Equipamento Tipo 2</t>
  </si>
  <si>
    <t>MATERIAL DE LIMPEZA</t>
  </si>
  <si>
    <t>Especificação</t>
  </si>
  <si>
    <t>Qtde Anual</t>
  </si>
  <si>
    <t>Valor Unitário (R$)</t>
  </si>
  <si>
    <t>Valor Anual (R$)</t>
  </si>
  <si>
    <t>Água sanitária de 1ª qualidade.</t>
  </si>
  <si>
    <t>Álcool etílico hidratado 70º gel de 1ª qualidade utilizado para superfícies fixas, composto por desnaturante e água.</t>
  </si>
  <si>
    <t>Álcool etílico hidratado 70º liquido de 1ª qualidade utilizado para superfícies fixas, composto por desnaturante e água.</t>
  </si>
  <si>
    <t>Desinfetante bactericida concentrado, altamente efetivo contra bactérias. Possui alto poder de ação, limpeza e desinfecção. Diluição de 1:25 até 1:100 partes de água.</t>
  </si>
  <si>
    <t>Litros</t>
  </si>
  <si>
    <t>Cabo em alumínio retrátil telescópico 1,40 metros com 2 estágios 22mm com rosca</t>
  </si>
  <si>
    <t>Haste garra plástica para MOP úmido</t>
  </si>
  <si>
    <t>Refil loop com cinta 320g</t>
  </si>
  <si>
    <t>Esfregona Completo 40cm</t>
  </si>
  <si>
    <t>Refil Esfregona para uso seco 40cm</t>
  </si>
  <si>
    <t>Pá coletora pop cabo de aluminio</t>
  </si>
  <si>
    <t>Placa Sinalizadora Piso Molhado</t>
  </si>
  <si>
    <t>Rodo com 2 borrachas 40 cm de largura com cabo</t>
  </si>
  <si>
    <t>Desodorizado de ambiente Spray, fragrância lavanda, 360 ml</t>
  </si>
  <si>
    <t>Detergente para lavar louça, 500ml</t>
  </si>
  <si>
    <t>Escovar de limpar vaso sanitário</t>
  </si>
  <si>
    <t>Esponja com dupla face multiuso</t>
  </si>
  <si>
    <t>Flanela branca tamanho 40x60cm</t>
  </si>
  <si>
    <t>Inseticida Spray 360ml</t>
  </si>
  <si>
    <t>Lustra Móveis lavanda 200ml</t>
  </si>
  <si>
    <t>Luva de 1ª qualidade indicada para limpeza em geral, forrada, antiderrapante e resistente.</t>
  </si>
  <si>
    <t>Par</t>
  </si>
  <si>
    <t>Pano de chão de saco alvejado especial 40x70, para limpeza de piso</t>
  </si>
  <si>
    <t>Papel higiênico neutro de 1ª qualidade rolão de 300m, não reciclado, de boa qualidade, 100% fibras celulósicas, na cor branca. Pacote com 8 rolos</t>
  </si>
  <si>
    <t>Pct</t>
  </si>
  <si>
    <t>Papel toalha em bobina 20cmx200m, 100% celulose virgem e de alta absorção.</t>
  </si>
  <si>
    <t>Papel toalha interfolhado, branco, 2 dobras, caixa contendo 6 (seis) pacotes com 400 folhas cada, de 23x21cm, totalizando 2.400 folhas no fardo</t>
  </si>
  <si>
    <t>Cx</t>
  </si>
  <si>
    <t>Pastilhas sanitárias (Bloco p/ Caixa Acoplada)</t>
  </si>
  <si>
    <t>Sabão em barra glicerinado de 1ª qualidade, pacote com 5 unidades</t>
  </si>
  <si>
    <t>Sabão em pó de 1ª qualidade</t>
  </si>
  <si>
    <t>Kg</t>
  </si>
  <si>
    <t>Sabonete líquido concentrado de 1ª qualidade, formulação balanceada com hidratante</t>
  </si>
  <si>
    <t>Saco para lixo reforçado capacidade 100lts, cor preta, pacote com 100 unidades de 1ª qualidade</t>
  </si>
  <si>
    <t>Saco para lixo reforçado capacidade 30lts, cor preta, pacote com 100 unidades de 1ª qualidade.</t>
  </si>
  <si>
    <t>Saponáceo liquido, embalagem com 300ml</t>
  </si>
  <si>
    <t>Vassoura de pelo sintético com 40cm de largura, com cabo</t>
  </si>
  <si>
    <t>Limpador concentrado multiuso, biodegradável, 500 ml, indicado para limpeza de superfícies.</t>
  </si>
  <si>
    <t>Limpador de vidros de 1ª qualidade (janelas e esquadrias), com 500 ml</t>
  </si>
  <si>
    <t>Esponja de lã de aço, Pacote com 8 unidades</t>
  </si>
  <si>
    <t>Pct.</t>
  </si>
  <si>
    <t>Valor Total (R$)</t>
  </si>
  <si>
    <t>Valor Global (R$)</t>
  </si>
  <si>
    <t>Serviços</t>
  </si>
  <si>
    <t>Limpeza</t>
  </si>
  <si>
    <t>Lucro e Despesas Indiretas</t>
  </si>
  <si>
    <t>Despesas Indiretas</t>
  </si>
  <si>
    <t>Tributação sobre Faturamento</t>
  </si>
  <si>
    <t>Total Tributação</t>
  </si>
  <si>
    <t>Custo Total do Material</t>
  </si>
  <si>
    <t>MATERIAL</t>
  </si>
  <si>
    <t>CUSTO COM MATERIAL DE LIMPEZA</t>
  </si>
  <si>
    <t>Valor Mensal (R$)</t>
  </si>
  <si>
    <t>Total LDI</t>
  </si>
  <si>
    <t>Material de Limpeza</t>
  </si>
  <si>
    <t>Vlr. Anual R$ (f)</t>
  </si>
  <si>
    <r>
      <t xml:space="preserve">Vlr. Mensal R$ (g = f </t>
    </r>
    <r>
      <rPr>
        <b/>
        <sz val="10"/>
        <color theme="0"/>
        <rFont val="Calibri"/>
        <family val="2"/>
      </rPr>
      <t>÷</t>
    </r>
    <r>
      <rPr>
        <b/>
        <sz val="10"/>
        <color theme="0"/>
        <rFont val="Arial"/>
        <family val="2"/>
      </rPr>
      <t xml:space="preserve"> 12)</t>
    </r>
  </si>
  <si>
    <t>Vlr. Bienal R$ (h = f x 2 anos)</t>
  </si>
  <si>
    <t>Planilha de EPIs</t>
  </si>
  <si>
    <t>TOTAL ANUAL (Total Anual Item 1 + Item 2) R$ →</t>
  </si>
  <si>
    <r>
      <t xml:space="preserve">TOTAL MENSAL (Total Anual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 meses) R$ → </t>
    </r>
  </si>
  <si>
    <t>TOTAL BIANUAL (Total Anual X 2 anos) R$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</si>
</sst>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00"/>
    <numFmt numFmtId="165" formatCode="0.000%"/>
    <numFmt numFmtId="166" formatCode="[$-F800]dddd\,\ mmmm\ dd\,\ yyyy"/>
    <numFmt numFmtId="167" formatCode="&quot;R$&quot;\ 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1" fillId="2" borderId="1" xfId="4" quotePrefix="1" applyNumberFormat="1" applyFont="1" applyFill="1" applyBorder="1" applyAlignment="1" applyProtection="1">
      <alignment horizontal="center" vertical="center"/>
    </xf>
    <xf numFmtId="165" fontId="1" fillId="0" borderId="1" xfId="4" quotePrefix="1" applyNumberFormat="1" applyFont="1" applyFill="1" applyBorder="1" applyAlignment="1" applyProtection="1">
      <alignment horizontal="center" vertical="center"/>
    </xf>
    <xf numFmtId="165" fontId="1" fillId="2" borderId="1" xfId="5" applyNumberFormat="1" applyFont="1" applyFill="1" applyBorder="1" applyAlignment="1" applyProtection="1">
      <alignment horizontal="center" vertical="center"/>
    </xf>
    <xf numFmtId="165" fontId="1" fillId="2" borderId="1" xfId="5" quotePrefix="1" applyNumberFormat="1" applyFont="1" applyFill="1" applyBorder="1" applyAlignment="1" applyProtection="1">
      <alignment horizontal="center" vertical="center"/>
    </xf>
    <xf numFmtId="10" fontId="3" fillId="0" borderId="1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165" fontId="7" fillId="2" borderId="1" xfId="5" quotePrefix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3" fillId="0" borderId="1" xfId="3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4" fillId="5" borderId="1" xfId="3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0" fontId="3" fillId="8" borderId="1" xfId="3" applyNumberFormat="1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 vertical="center" wrapText="1"/>
    </xf>
    <xf numFmtId="165" fontId="3" fillId="8" borderId="1" xfId="3" applyNumberFormat="1" applyFont="1" applyFill="1" applyBorder="1" applyAlignment="1">
      <alignment horizontal="right" vertical="center" wrapText="1"/>
    </xf>
    <xf numFmtId="4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4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4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165" fontId="1" fillId="8" borderId="1" xfId="5" quotePrefix="1" applyNumberFormat="1" applyFont="1" applyFill="1" applyBorder="1" applyAlignment="1" applyProtection="1">
      <alignment horizontal="center" vertical="center"/>
    </xf>
    <xf numFmtId="165" fontId="1" fillId="8" borderId="1" xfId="4" quotePrefix="1" applyNumberFormat="1" applyFont="1" applyFill="1" applyBorder="1" applyAlignment="1" applyProtection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165" fontId="1" fillId="8" borderId="1" xfId="5" applyNumberFormat="1" applyFont="1" applyFill="1" applyBorder="1" applyAlignment="1" applyProtection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44" fontId="4" fillId="5" borderId="1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 vertical="center" wrapText="1"/>
    </xf>
    <xf numFmtId="3" fontId="3" fillId="8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165" fontId="1" fillId="9" borderId="1" xfId="5" quotePrefix="1" applyNumberFormat="1" applyFont="1" applyFill="1" applyBorder="1" applyAlignment="1" applyProtection="1">
      <alignment horizontal="center" vertical="center"/>
    </xf>
    <xf numFmtId="9" fontId="5" fillId="8" borderId="1" xfId="3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7" fontId="3" fillId="8" borderId="1" xfId="0" applyNumberFormat="1" applyFont="1" applyFill="1" applyBorder="1" applyAlignment="1">
      <alignment horizontal="center" vertical="center" wrapText="1"/>
    </xf>
    <xf numFmtId="167" fontId="4" fillId="5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165" fontId="7" fillId="8" borderId="1" xfId="5" quotePrefix="1" applyNumberFormat="1" applyFont="1" applyFill="1" applyBorder="1" applyAlignment="1" applyProtection="1">
      <alignment horizontal="center" vertical="center"/>
    </xf>
    <xf numFmtId="165" fontId="3" fillId="9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center" vertical="center" wrapText="1"/>
    </xf>
    <xf numFmtId="4" fontId="3" fillId="8" borderId="5" xfId="0" applyNumberFormat="1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justify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0" fontId="4" fillId="0" borderId="1" xfId="0" applyFont="1" applyBorder="1"/>
    <xf numFmtId="4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center" vertical="center"/>
    </xf>
    <xf numFmtId="165" fontId="3" fillId="0" borderId="1" xfId="3" applyNumberFormat="1" applyFont="1" applyBorder="1" applyAlignment="1">
      <alignment horizontal="center" vertical="center"/>
    </xf>
    <xf numFmtId="165" fontId="4" fillId="0" borderId="1" xfId="3" applyNumberFormat="1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66" fontId="8" fillId="4" borderId="13" xfId="0" applyNumberFormat="1" applyFont="1" applyFill="1" applyBorder="1" applyAlignment="1">
      <alignment horizontal="center" vertical="center"/>
    </xf>
    <xf numFmtId="44" fontId="4" fillId="5" borderId="13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8" borderId="6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</cellXfs>
  <cellStyles count="7">
    <cellStyle name="Normal" xfId="0" builtinId="0"/>
    <cellStyle name="Normal 2 2" xfId="1" xr:uid="{00000000-0005-0000-0000-000001000000}"/>
    <cellStyle name="Normal 2 2 2" xfId="6" xr:uid="{1E097E8A-34D9-48BB-A7D3-C42B4384A7A0}"/>
    <cellStyle name="Porcentagem" xfId="3" builtinId="5"/>
    <cellStyle name="Porcentagem 10 2" xfId="5" xr:uid="{19BD54D8-2E3C-4D39-BD49-13A42D1DDBBA}"/>
    <cellStyle name="Porcentagem 13" xfId="4" xr:uid="{35DEB145-C009-4447-8DC4-3266326AD0FE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87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74E88ABB-1341-4C99-9283-9DFBF249C42F}"/>
                </a:ext>
              </a:extLst>
            </xdr:cNvPr>
            <xdr:cNvSpPr txBox="1"/>
          </xdr:nvSpPr>
          <xdr:spPr>
            <a:xfrm>
              <a:off x="5340350" y="341270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74E88ABB-1341-4C99-9283-9DFBF249C42F}"/>
                </a:ext>
              </a:extLst>
            </xdr:cNvPr>
            <xdr:cNvSpPr txBox="1"/>
          </xdr:nvSpPr>
          <xdr:spPr>
            <a:xfrm>
              <a:off x="5340350" y="34127019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87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2C2C2509-5589-48F8-9BCF-4387080D6737}"/>
                </a:ext>
              </a:extLst>
            </xdr:cNvPr>
            <xdr:cNvSpPr txBox="1"/>
          </xdr:nvSpPr>
          <xdr:spPr>
            <a:xfrm>
              <a:off x="5334000" y="282246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2C2C2509-5589-48F8-9BCF-4387080D6737}"/>
                </a:ext>
              </a:extLst>
            </xdr:cNvPr>
            <xdr:cNvSpPr txBox="1"/>
          </xdr:nvSpPr>
          <xdr:spPr>
            <a:xfrm>
              <a:off x="5334000" y="282246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F783-2D77-4229-BF51-1FAEDEABE740}">
  <sheetPr codeName="Planilha1">
    <pageSetUpPr fitToPage="1"/>
  </sheetPr>
  <dimension ref="A1:R38"/>
  <sheetViews>
    <sheetView view="pageBreakPreview" zoomScale="80" zoomScaleNormal="85" zoomScaleSheetLayoutView="80" workbookViewId="0">
      <selection activeCell="F33" sqref="F33"/>
    </sheetView>
  </sheetViews>
  <sheetFormatPr defaultRowHeight="14.5" x14ac:dyDescent="0.35"/>
  <cols>
    <col min="1" max="1" width="32.1796875" bestFit="1" customWidth="1"/>
    <col min="2" max="17" width="12.453125" customWidth="1"/>
    <col min="18" max="18" width="10" customWidth="1"/>
  </cols>
  <sheetData>
    <row r="1" spans="1:18" x14ac:dyDescent="0.35">
      <c r="A1" s="127" t="s">
        <v>192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</row>
    <row r="2" spans="1:18" ht="18" customHeight="1" x14ac:dyDescent="0.35">
      <c r="A2" s="124" t="s">
        <v>97</v>
      </c>
      <c r="B2" s="126" t="s">
        <v>106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5" t="s">
        <v>112</v>
      </c>
    </row>
    <row r="3" spans="1:18" ht="94.5" customHeight="1" x14ac:dyDescent="0.35">
      <c r="A3" s="124"/>
      <c r="B3" s="62" t="s">
        <v>115</v>
      </c>
      <c r="C3" s="62" t="s">
        <v>149</v>
      </c>
      <c r="D3" s="62" t="s">
        <v>116</v>
      </c>
      <c r="E3" s="62" t="s">
        <v>117</v>
      </c>
      <c r="F3" s="62" t="s">
        <v>119</v>
      </c>
      <c r="G3" s="62" t="s">
        <v>120</v>
      </c>
      <c r="H3" s="62" t="s">
        <v>118</v>
      </c>
      <c r="I3" s="62" t="s">
        <v>121</v>
      </c>
      <c r="J3" s="62" t="s">
        <v>122</v>
      </c>
      <c r="K3" s="62" t="s">
        <v>150</v>
      </c>
      <c r="L3" s="62" t="s">
        <v>123</v>
      </c>
      <c r="M3" s="62" t="s">
        <v>104</v>
      </c>
      <c r="N3" s="62" t="s">
        <v>124</v>
      </c>
      <c r="O3" s="62" t="s">
        <v>107</v>
      </c>
      <c r="P3" s="62" t="s">
        <v>151</v>
      </c>
      <c r="Q3" s="62" t="s">
        <v>125</v>
      </c>
      <c r="R3" s="125"/>
    </row>
    <row r="4" spans="1:18" ht="15" customHeight="1" x14ac:dyDescent="0.35">
      <c r="A4" s="36" t="s">
        <v>136</v>
      </c>
      <c r="B4" s="60" t="s">
        <v>74</v>
      </c>
      <c r="C4" s="33" t="s">
        <v>74</v>
      </c>
      <c r="D4" s="60">
        <v>1</v>
      </c>
      <c r="E4" s="60" t="s">
        <v>74</v>
      </c>
      <c r="F4" s="60" t="s">
        <v>74</v>
      </c>
      <c r="G4" s="60" t="s">
        <v>74</v>
      </c>
      <c r="H4" s="60" t="s">
        <v>74</v>
      </c>
      <c r="I4" s="60" t="s">
        <v>74</v>
      </c>
      <c r="J4" s="60" t="s">
        <v>74</v>
      </c>
      <c r="K4" s="60" t="s">
        <v>74</v>
      </c>
      <c r="L4" s="60" t="s">
        <v>74</v>
      </c>
      <c r="M4" s="60" t="s">
        <v>74</v>
      </c>
      <c r="N4" s="60" t="s">
        <v>74</v>
      </c>
      <c r="O4" s="60" t="s">
        <v>74</v>
      </c>
      <c r="P4" s="60" t="s">
        <v>74</v>
      </c>
      <c r="Q4" s="60" t="s">
        <v>74</v>
      </c>
      <c r="R4" s="38">
        <f t="shared" ref="R4:R17" si="0">ROUND(SUM(B4:Q4),2)</f>
        <v>1</v>
      </c>
    </row>
    <row r="5" spans="1:18" ht="15" customHeight="1" x14ac:dyDescent="0.35">
      <c r="A5" s="46" t="s">
        <v>152</v>
      </c>
      <c r="B5" s="61" t="s">
        <v>74</v>
      </c>
      <c r="C5" s="61" t="s">
        <v>74</v>
      </c>
      <c r="D5" s="61" t="s">
        <v>74</v>
      </c>
      <c r="E5" s="61" t="s">
        <v>74</v>
      </c>
      <c r="F5" s="61" t="s">
        <v>74</v>
      </c>
      <c r="G5" s="61" t="s">
        <v>74</v>
      </c>
      <c r="H5" s="61" t="s">
        <v>74</v>
      </c>
      <c r="I5" s="61">
        <v>2</v>
      </c>
      <c r="J5" s="61" t="s">
        <v>74</v>
      </c>
      <c r="K5" s="61" t="s">
        <v>74</v>
      </c>
      <c r="L5" s="61" t="s">
        <v>74</v>
      </c>
      <c r="M5" s="61" t="s">
        <v>74</v>
      </c>
      <c r="N5" s="61" t="s">
        <v>74</v>
      </c>
      <c r="O5" s="61" t="s">
        <v>74</v>
      </c>
      <c r="P5" s="61" t="s">
        <v>74</v>
      </c>
      <c r="Q5" s="61" t="s">
        <v>74</v>
      </c>
      <c r="R5" s="38">
        <f t="shared" si="0"/>
        <v>2</v>
      </c>
    </row>
    <row r="6" spans="1:18" ht="15" customHeight="1" x14ac:dyDescent="0.35">
      <c r="A6" s="37" t="s">
        <v>137</v>
      </c>
      <c r="B6" s="60" t="s">
        <v>74</v>
      </c>
      <c r="C6" s="60" t="s">
        <v>74</v>
      </c>
      <c r="D6" s="60" t="s">
        <v>74</v>
      </c>
      <c r="E6" s="60" t="s">
        <v>74</v>
      </c>
      <c r="F6" s="60" t="s">
        <v>74</v>
      </c>
      <c r="G6" s="60" t="s">
        <v>74</v>
      </c>
      <c r="H6" s="60" t="s">
        <v>74</v>
      </c>
      <c r="I6" s="60" t="s">
        <v>74</v>
      </c>
      <c r="J6" s="60" t="s">
        <v>74</v>
      </c>
      <c r="K6" s="60">
        <v>1</v>
      </c>
      <c r="L6" s="60" t="s">
        <v>74</v>
      </c>
      <c r="M6" s="60" t="s">
        <v>74</v>
      </c>
      <c r="N6" s="60" t="s">
        <v>74</v>
      </c>
      <c r="O6" s="60" t="s">
        <v>74</v>
      </c>
      <c r="P6" s="60" t="s">
        <v>74</v>
      </c>
      <c r="Q6" s="60" t="s">
        <v>74</v>
      </c>
      <c r="R6" s="38">
        <f t="shared" si="0"/>
        <v>1</v>
      </c>
    </row>
    <row r="7" spans="1:18" ht="15" customHeight="1" x14ac:dyDescent="0.35">
      <c r="A7" s="44" t="s">
        <v>138</v>
      </c>
      <c r="B7" s="61" t="s">
        <v>74</v>
      </c>
      <c r="C7" s="74">
        <v>1</v>
      </c>
      <c r="D7" s="61" t="s">
        <v>74</v>
      </c>
      <c r="E7" s="61" t="s">
        <v>74</v>
      </c>
      <c r="F7" s="61" t="s">
        <v>74</v>
      </c>
      <c r="G7" s="61">
        <v>6</v>
      </c>
      <c r="H7" s="61" t="s">
        <v>74</v>
      </c>
      <c r="I7" s="61" t="s">
        <v>74</v>
      </c>
      <c r="J7" s="61">
        <v>2</v>
      </c>
      <c r="K7" s="61">
        <v>2</v>
      </c>
      <c r="L7" s="61" t="s">
        <v>74</v>
      </c>
      <c r="M7" s="61">
        <v>1</v>
      </c>
      <c r="N7" s="61">
        <v>1</v>
      </c>
      <c r="O7" s="61">
        <v>2</v>
      </c>
      <c r="P7" s="61">
        <v>1</v>
      </c>
      <c r="Q7" s="61" t="s">
        <v>74</v>
      </c>
      <c r="R7" s="38">
        <f t="shared" si="0"/>
        <v>16</v>
      </c>
    </row>
    <row r="8" spans="1:18" ht="15" customHeight="1" x14ac:dyDescent="0.35">
      <c r="A8" s="36" t="s">
        <v>139</v>
      </c>
      <c r="B8" s="60">
        <v>3</v>
      </c>
      <c r="C8" s="60" t="s">
        <v>74</v>
      </c>
      <c r="D8" s="60">
        <v>2</v>
      </c>
      <c r="E8" s="60" t="s">
        <v>74</v>
      </c>
      <c r="F8" s="60">
        <v>1</v>
      </c>
      <c r="G8" s="60">
        <v>1</v>
      </c>
      <c r="H8" s="60">
        <v>1</v>
      </c>
      <c r="I8" s="60" t="s">
        <v>74</v>
      </c>
      <c r="J8" s="60">
        <v>1</v>
      </c>
      <c r="K8" s="60" t="s">
        <v>74</v>
      </c>
      <c r="L8" s="60" t="s">
        <v>74</v>
      </c>
      <c r="M8" s="60">
        <v>1</v>
      </c>
      <c r="N8" s="60">
        <v>1</v>
      </c>
      <c r="O8" s="60" t="s">
        <v>74</v>
      </c>
      <c r="P8" s="60" t="s">
        <v>74</v>
      </c>
      <c r="Q8" s="60" t="s">
        <v>74</v>
      </c>
      <c r="R8" s="38">
        <f t="shared" si="0"/>
        <v>11</v>
      </c>
    </row>
    <row r="9" spans="1:18" ht="15" customHeight="1" x14ac:dyDescent="0.35">
      <c r="A9" s="46" t="s">
        <v>140</v>
      </c>
      <c r="B9" s="61" t="s">
        <v>74</v>
      </c>
      <c r="C9" s="61" t="s">
        <v>74</v>
      </c>
      <c r="D9" s="61" t="s">
        <v>74</v>
      </c>
      <c r="E9" s="61">
        <v>1</v>
      </c>
      <c r="F9" s="61" t="s">
        <v>74</v>
      </c>
      <c r="G9" s="61" t="s">
        <v>74</v>
      </c>
      <c r="H9" s="61" t="s">
        <v>74</v>
      </c>
      <c r="I9" s="61" t="s">
        <v>74</v>
      </c>
      <c r="J9" s="61" t="s">
        <v>74</v>
      </c>
      <c r="K9" s="61" t="s">
        <v>74</v>
      </c>
      <c r="L9" s="61" t="s">
        <v>74</v>
      </c>
      <c r="M9" s="61" t="s">
        <v>74</v>
      </c>
      <c r="N9" s="61" t="s">
        <v>74</v>
      </c>
      <c r="O9" s="61" t="s">
        <v>74</v>
      </c>
      <c r="P9" s="61" t="s">
        <v>74</v>
      </c>
      <c r="Q9" s="61" t="s">
        <v>74</v>
      </c>
      <c r="R9" s="38">
        <f t="shared" si="0"/>
        <v>1</v>
      </c>
    </row>
    <row r="10" spans="1:18" ht="15" customHeight="1" x14ac:dyDescent="0.35">
      <c r="A10" s="37" t="s">
        <v>141</v>
      </c>
      <c r="B10" s="60" t="s">
        <v>74</v>
      </c>
      <c r="C10" s="60" t="s">
        <v>74</v>
      </c>
      <c r="D10" s="60" t="s">
        <v>74</v>
      </c>
      <c r="E10" s="60" t="s">
        <v>74</v>
      </c>
      <c r="F10" s="60" t="s">
        <v>74</v>
      </c>
      <c r="G10" s="60" t="s">
        <v>74</v>
      </c>
      <c r="H10" s="60" t="s">
        <v>74</v>
      </c>
      <c r="I10" s="60" t="s">
        <v>74</v>
      </c>
      <c r="J10" s="60" t="s">
        <v>74</v>
      </c>
      <c r="K10" s="60" t="s">
        <v>74</v>
      </c>
      <c r="L10" s="60">
        <v>1</v>
      </c>
      <c r="M10" s="60" t="s">
        <v>74</v>
      </c>
      <c r="N10" s="60" t="s">
        <v>74</v>
      </c>
      <c r="O10" s="60" t="s">
        <v>74</v>
      </c>
      <c r="P10" s="60" t="s">
        <v>74</v>
      </c>
      <c r="Q10" s="60" t="s">
        <v>74</v>
      </c>
      <c r="R10" s="38">
        <f t="shared" si="0"/>
        <v>1</v>
      </c>
    </row>
    <row r="11" spans="1:18" ht="15" customHeight="1" x14ac:dyDescent="0.35">
      <c r="A11" s="46" t="s">
        <v>142</v>
      </c>
      <c r="B11" s="61" t="s">
        <v>74</v>
      </c>
      <c r="C11" s="61" t="s">
        <v>74</v>
      </c>
      <c r="D11" s="61" t="s">
        <v>74</v>
      </c>
      <c r="E11" s="61" t="s">
        <v>74</v>
      </c>
      <c r="F11" s="61" t="s">
        <v>74</v>
      </c>
      <c r="G11" s="61" t="s">
        <v>74</v>
      </c>
      <c r="H11" s="61">
        <v>1</v>
      </c>
      <c r="I11" s="61" t="s">
        <v>74</v>
      </c>
      <c r="J11" s="61" t="s">
        <v>74</v>
      </c>
      <c r="K11" s="61" t="s">
        <v>74</v>
      </c>
      <c r="L11" s="61" t="s">
        <v>74</v>
      </c>
      <c r="M11" s="61" t="s">
        <v>74</v>
      </c>
      <c r="N11" s="61" t="s">
        <v>74</v>
      </c>
      <c r="O11" s="61" t="s">
        <v>74</v>
      </c>
      <c r="P11" s="61" t="s">
        <v>74</v>
      </c>
      <c r="Q11" s="61" t="s">
        <v>74</v>
      </c>
      <c r="R11" s="38">
        <f t="shared" si="0"/>
        <v>1</v>
      </c>
    </row>
    <row r="12" spans="1:18" ht="15" customHeight="1" x14ac:dyDescent="0.35">
      <c r="A12" s="36" t="s">
        <v>143</v>
      </c>
      <c r="B12" s="68" t="s">
        <v>74</v>
      </c>
      <c r="C12" s="68" t="s">
        <v>74</v>
      </c>
      <c r="D12" s="60">
        <v>1</v>
      </c>
      <c r="E12" s="68" t="s">
        <v>74</v>
      </c>
      <c r="F12" s="68" t="s">
        <v>74</v>
      </c>
      <c r="G12" s="68" t="s">
        <v>74</v>
      </c>
      <c r="H12" s="68" t="s">
        <v>74</v>
      </c>
      <c r="I12" s="68" t="s">
        <v>74</v>
      </c>
      <c r="J12" s="68" t="s">
        <v>74</v>
      </c>
      <c r="K12" s="68" t="s">
        <v>74</v>
      </c>
      <c r="L12" s="68" t="s">
        <v>74</v>
      </c>
      <c r="M12" s="68" t="s">
        <v>74</v>
      </c>
      <c r="N12" s="68" t="s">
        <v>74</v>
      </c>
      <c r="O12" s="68" t="s">
        <v>74</v>
      </c>
      <c r="P12" s="68" t="s">
        <v>74</v>
      </c>
      <c r="Q12" s="68" t="s">
        <v>74</v>
      </c>
      <c r="R12" s="38">
        <f t="shared" si="0"/>
        <v>1</v>
      </c>
    </row>
    <row r="13" spans="1:18" ht="15" customHeight="1" x14ac:dyDescent="0.35">
      <c r="A13" s="44" t="s">
        <v>144</v>
      </c>
      <c r="B13" s="61" t="s">
        <v>74</v>
      </c>
      <c r="C13" s="61" t="s">
        <v>74</v>
      </c>
      <c r="D13" s="61" t="s">
        <v>74</v>
      </c>
      <c r="E13" s="61" t="s">
        <v>74</v>
      </c>
      <c r="F13" s="61" t="s">
        <v>74</v>
      </c>
      <c r="G13" s="61" t="s">
        <v>74</v>
      </c>
      <c r="H13" s="61" t="s">
        <v>74</v>
      </c>
      <c r="I13" s="61" t="s">
        <v>74</v>
      </c>
      <c r="J13" s="61" t="s">
        <v>74</v>
      </c>
      <c r="K13" s="61" t="s">
        <v>74</v>
      </c>
      <c r="L13" s="61">
        <v>1</v>
      </c>
      <c r="M13" s="61" t="s">
        <v>74</v>
      </c>
      <c r="N13" s="61" t="s">
        <v>74</v>
      </c>
      <c r="O13" s="61" t="s">
        <v>74</v>
      </c>
      <c r="P13" s="61" t="s">
        <v>74</v>
      </c>
      <c r="Q13" s="61" t="s">
        <v>74</v>
      </c>
      <c r="R13" s="38">
        <f t="shared" si="0"/>
        <v>1</v>
      </c>
    </row>
    <row r="14" spans="1:18" ht="15" customHeight="1" x14ac:dyDescent="0.35">
      <c r="A14" s="37" t="s">
        <v>145</v>
      </c>
      <c r="B14" s="60" t="s">
        <v>74</v>
      </c>
      <c r="C14" s="60" t="s">
        <v>74</v>
      </c>
      <c r="D14" s="60" t="s">
        <v>74</v>
      </c>
      <c r="E14" s="60" t="s">
        <v>74</v>
      </c>
      <c r="F14" s="60" t="s">
        <v>74</v>
      </c>
      <c r="G14" s="60" t="s">
        <v>74</v>
      </c>
      <c r="H14" s="60" t="s">
        <v>74</v>
      </c>
      <c r="I14" s="60" t="s">
        <v>74</v>
      </c>
      <c r="J14" s="60">
        <v>2</v>
      </c>
      <c r="K14" s="60" t="s">
        <v>74</v>
      </c>
      <c r="L14" s="60" t="s">
        <v>74</v>
      </c>
      <c r="M14" s="60" t="s">
        <v>74</v>
      </c>
      <c r="N14" s="60" t="s">
        <v>74</v>
      </c>
      <c r="O14" s="60" t="s">
        <v>74</v>
      </c>
      <c r="P14" s="60" t="s">
        <v>74</v>
      </c>
      <c r="Q14" s="60" t="s">
        <v>74</v>
      </c>
      <c r="R14" s="38">
        <f t="shared" si="0"/>
        <v>2</v>
      </c>
    </row>
    <row r="15" spans="1:18" ht="15" customHeight="1" x14ac:dyDescent="0.35">
      <c r="A15" s="46" t="s">
        <v>146</v>
      </c>
      <c r="B15" s="45" t="s">
        <v>74</v>
      </c>
      <c r="C15" s="45" t="s">
        <v>74</v>
      </c>
      <c r="D15" s="61">
        <v>1</v>
      </c>
      <c r="E15" s="45" t="s">
        <v>74</v>
      </c>
      <c r="F15" s="45" t="s">
        <v>74</v>
      </c>
      <c r="G15" s="45" t="s">
        <v>74</v>
      </c>
      <c r="H15" s="45" t="s">
        <v>74</v>
      </c>
      <c r="I15" s="45" t="s">
        <v>74</v>
      </c>
      <c r="J15" s="45" t="s">
        <v>74</v>
      </c>
      <c r="K15" s="45" t="s">
        <v>74</v>
      </c>
      <c r="L15" s="45" t="s">
        <v>74</v>
      </c>
      <c r="M15" s="45" t="s">
        <v>74</v>
      </c>
      <c r="N15" s="45" t="s">
        <v>74</v>
      </c>
      <c r="O15" s="45" t="s">
        <v>74</v>
      </c>
      <c r="P15" s="45" t="s">
        <v>74</v>
      </c>
      <c r="Q15" s="45" t="s">
        <v>74</v>
      </c>
      <c r="R15" s="38">
        <f t="shared" si="0"/>
        <v>1</v>
      </c>
    </row>
    <row r="16" spans="1:18" ht="15" customHeight="1" x14ac:dyDescent="0.35">
      <c r="A16" s="37" t="s">
        <v>147</v>
      </c>
      <c r="B16" s="60" t="s">
        <v>74</v>
      </c>
      <c r="C16" s="60" t="s">
        <v>74</v>
      </c>
      <c r="D16" s="60" t="s">
        <v>74</v>
      </c>
      <c r="E16" s="60" t="s">
        <v>74</v>
      </c>
      <c r="F16" s="60" t="s">
        <v>74</v>
      </c>
      <c r="G16" s="60" t="s">
        <v>74</v>
      </c>
      <c r="H16" s="60" t="s">
        <v>74</v>
      </c>
      <c r="I16" s="60" t="s">
        <v>74</v>
      </c>
      <c r="J16" s="60" t="s">
        <v>74</v>
      </c>
      <c r="K16" s="60" t="s">
        <v>74</v>
      </c>
      <c r="L16" s="60" t="s">
        <v>74</v>
      </c>
      <c r="M16" s="60" t="s">
        <v>74</v>
      </c>
      <c r="N16" s="60" t="s">
        <v>74</v>
      </c>
      <c r="O16" s="60" t="s">
        <v>74</v>
      </c>
      <c r="P16" s="60" t="s">
        <v>74</v>
      </c>
      <c r="Q16" s="60">
        <v>1</v>
      </c>
      <c r="R16" s="38">
        <f t="shared" si="0"/>
        <v>1</v>
      </c>
    </row>
    <row r="17" spans="1:18" ht="15" customHeight="1" x14ac:dyDescent="0.35">
      <c r="A17" s="46" t="s">
        <v>148</v>
      </c>
      <c r="B17" s="61" t="s">
        <v>74</v>
      </c>
      <c r="C17" s="61" t="s">
        <v>74</v>
      </c>
      <c r="D17" s="61" t="s">
        <v>74</v>
      </c>
      <c r="E17" s="61" t="s">
        <v>74</v>
      </c>
      <c r="F17" s="61" t="s">
        <v>74</v>
      </c>
      <c r="G17" s="61" t="s">
        <v>74</v>
      </c>
      <c r="H17" s="61" t="s">
        <v>74</v>
      </c>
      <c r="I17" s="61" t="s">
        <v>74</v>
      </c>
      <c r="J17" s="61" t="s">
        <v>74</v>
      </c>
      <c r="K17" s="61" t="s">
        <v>74</v>
      </c>
      <c r="L17" s="61" t="s">
        <v>74</v>
      </c>
      <c r="M17" s="61" t="s">
        <v>74</v>
      </c>
      <c r="N17" s="61" t="s">
        <v>74</v>
      </c>
      <c r="O17" s="61" t="s">
        <v>74</v>
      </c>
      <c r="P17" s="61" t="s">
        <v>74</v>
      </c>
      <c r="Q17" s="61">
        <v>1</v>
      </c>
      <c r="R17" s="38">
        <f t="shared" si="0"/>
        <v>1</v>
      </c>
    </row>
    <row r="18" spans="1:18" x14ac:dyDescent="0.35">
      <c r="A18" s="58" t="s">
        <v>113</v>
      </c>
      <c r="B18" s="75">
        <f t="shared" ref="B18:Q18" si="1">ROUND(SUM(B4:B15),2)</f>
        <v>3</v>
      </c>
      <c r="C18" s="75">
        <f t="shared" si="1"/>
        <v>1</v>
      </c>
      <c r="D18" s="75">
        <f t="shared" si="1"/>
        <v>5</v>
      </c>
      <c r="E18" s="75">
        <f t="shared" si="1"/>
        <v>1</v>
      </c>
      <c r="F18" s="75">
        <f t="shared" si="1"/>
        <v>1</v>
      </c>
      <c r="G18" s="75">
        <f t="shared" si="1"/>
        <v>7</v>
      </c>
      <c r="H18" s="75">
        <f t="shared" si="1"/>
        <v>2</v>
      </c>
      <c r="I18" s="75">
        <f t="shared" si="1"/>
        <v>2</v>
      </c>
      <c r="J18" s="75">
        <f t="shared" si="1"/>
        <v>5</v>
      </c>
      <c r="K18" s="75">
        <f t="shared" si="1"/>
        <v>3</v>
      </c>
      <c r="L18" s="75">
        <f t="shared" si="1"/>
        <v>2</v>
      </c>
      <c r="M18" s="75">
        <f t="shared" si="1"/>
        <v>2</v>
      </c>
      <c r="N18" s="75">
        <f t="shared" si="1"/>
        <v>2</v>
      </c>
      <c r="O18" s="75">
        <f t="shared" si="1"/>
        <v>2</v>
      </c>
      <c r="P18" s="75">
        <f t="shared" si="1"/>
        <v>1</v>
      </c>
      <c r="Q18" s="75">
        <f t="shared" si="1"/>
        <v>0</v>
      </c>
      <c r="R18" s="75">
        <f>ROUND(SUM(R4:R17),2)</f>
        <v>41</v>
      </c>
    </row>
    <row r="21" spans="1:18" x14ac:dyDescent="0.35">
      <c r="A21" s="127" t="s">
        <v>154</v>
      </c>
      <c r="B21" s="127"/>
      <c r="C21" s="127"/>
      <c r="D21" s="127"/>
      <c r="E21" s="127"/>
    </row>
    <row r="22" spans="1:18" ht="14.5" customHeight="1" x14ac:dyDescent="0.35">
      <c r="A22" s="124" t="s">
        <v>97</v>
      </c>
      <c r="B22" s="126" t="s">
        <v>106</v>
      </c>
      <c r="C22" s="126"/>
      <c r="D22" s="126"/>
      <c r="E22" s="125" t="s">
        <v>112</v>
      </c>
    </row>
    <row r="23" spans="1:18" ht="25" x14ac:dyDescent="0.35">
      <c r="A23" s="124"/>
      <c r="B23" s="62" t="s">
        <v>155</v>
      </c>
      <c r="C23" s="62" t="s">
        <v>156</v>
      </c>
      <c r="D23" s="62" t="s">
        <v>157</v>
      </c>
      <c r="E23" s="125"/>
    </row>
    <row r="24" spans="1:18" x14ac:dyDescent="0.35">
      <c r="A24" s="36" t="s">
        <v>136</v>
      </c>
      <c r="B24" s="60" t="s">
        <v>74</v>
      </c>
      <c r="C24" s="33" t="s">
        <v>74</v>
      </c>
      <c r="D24" s="60">
        <v>1</v>
      </c>
      <c r="E24" s="38">
        <f t="shared" ref="E24:E37" si="2">ROUND(SUM(B24:D24),2)</f>
        <v>1</v>
      </c>
    </row>
    <row r="25" spans="1:18" x14ac:dyDescent="0.35">
      <c r="A25" s="46" t="s">
        <v>152</v>
      </c>
      <c r="B25" s="61" t="s">
        <v>74</v>
      </c>
      <c r="C25" s="61" t="s">
        <v>74</v>
      </c>
      <c r="D25" s="61">
        <v>2</v>
      </c>
      <c r="E25" s="38">
        <f t="shared" si="2"/>
        <v>2</v>
      </c>
    </row>
    <row r="26" spans="1:18" x14ac:dyDescent="0.35">
      <c r="A26" s="37" t="s">
        <v>137</v>
      </c>
      <c r="B26" s="60" t="s">
        <v>74</v>
      </c>
      <c r="C26" s="60" t="s">
        <v>74</v>
      </c>
      <c r="D26" s="60">
        <v>1</v>
      </c>
      <c r="E26" s="38">
        <f t="shared" si="2"/>
        <v>1</v>
      </c>
    </row>
    <row r="27" spans="1:18" x14ac:dyDescent="0.35">
      <c r="A27" s="44" t="s">
        <v>138</v>
      </c>
      <c r="B27" s="61" t="s">
        <v>74</v>
      </c>
      <c r="C27" s="74">
        <v>16</v>
      </c>
      <c r="D27" s="61" t="s">
        <v>74</v>
      </c>
      <c r="E27" s="38">
        <f t="shared" si="2"/>
        <v>16</v>
      </c>
    </row>
    <row r="28" spans="1:18" x14ac:dyDescent="0.35">
      <c r="A28" s="36" t="s">
        <v>139</v>
      </c>
      <c r="B28" s="60"/>
      <c r="C28" s="60" t="s">
        <v>74</v>
      </c>
      <c r="D28" s="60">
        <v>11</v>
      </c>
      <c r="E28" s="38">
        <f t="shared" si="2"/>
        <v>11</v>
      </c>
    </row>
    <row r="29" spans="1:18" x14ac:dyDescent="0.35">
      <c r="A29" s="46" t="s">
        <v>140</v>
      </c>
      <c r="B29" s="61" t="s">
        <v>74</v>
      </c>
      <c r="C29" s="61" t="s">
        <v>74</v>
      </c>
      <c r="D29" s="61">
        <v>1</v>
      </c>
      <c r="E29" s="38">
        <f t="shared" si="2"/>
        <v>1</v>
      </c>
    </row>
    <row r="30" spans="1:18" x14ac:dyDescent="0.35">
      <c r="A30" s="37" t="s">
        <v>141</v>
      </c>
      <c r="B30" s="60" t="s">
        <v>74</v>
      </c>
      <c r="C30" s="60" t="s">
        <v>74</v>
      </c>
      <c r="D30" s="60">
        <v>1</v>
      </c>
      <c r="E30" s="38">
        <f t="shared" si="2"/>
        <v>1</v>
      </c>
    </row>
    <row r="31" spans="1:18" x14ac:dyDescent="0.35">
      <c r="A31" s="46" t="s">
        <v>142</v>
      </c>
      <c r="B31" s="61" t="s">
        <v>74</v>
      </c>
      <c r="C31" s="61">
        <v>1</v>
      </c>
      <c r="D31" s="61" t="s">
        <v>74</v>
      </c>
      <c r="E31" s="38">
        <f t="shared" si="2"/>
        <v>1</v>
      </c>
    </row>
    <row r="32" spans="1:18" x14ac:dyDescent="0.35">
      <c r="A32" s="36" t="s">
        <v>143</v>
      </c>
      <c r="B32" s="68">
        <v>1</v>
      </c>
      <c r="C32" s="68" t="s">
        <v>74</v>
      </c>
      <c r="D32" s="60"/>
      <c r="E32" s="38">
        <f t="shared" si="2"/>
        <v>1</v>
      </c>
    </row>
    <row r="33" spans="1:5" x14ac:dyDescent="0.35">
      <c r="A33" s="44" t="s">
        <v>144</v>
      </c>
      <c r="B33" s="61" t="s">
        <v>74</v>
      </c>
      <c r="C33" s="61" t="s">
        <v>74</v>
      </c>
      <c r="D33" s="61">
        <v>1</v>
      </c>
      <c r="E33" s="38">
        <f t="shared" si="2"/>
        <v>1</v>
      </c>
    </row>
    <row r="34" spans="1:5" x14ac:dyDescent="0.35">
      <c r="A34" s="37" t="s">
        <v>145</v>
      </c>
      <c r="B34" s="60" t="s">
        <v>74</v>
      </c>
      <c r="C34" s="60">
        <v>2</v>
      </c>
      <c r="D34" s="60" t="s">
        <v>74</v>
      </c>
      <c r="E34" s="38">
        <f t="shared" si="2"/>
        <v>2</v>
      </c>
    </row>
    <row r="35" spans="1:5" x14ac:dyDescent="0.35">
      <c r="A35" s="46" t="s">
        <v>146</v>
      </c>
      <c r="B35" s="74">
        <v>1</v>
      </c>
      <c r="C35" s="74" t="s">
        <v>74</v>
      </c>
      <c r="D35" s="61" t="s">
        <v>74</v>
      </c>
      <c r="E35" s="38">
        <f t="shared" si="2"/>
        <v>1</v>
      </c>
    </row>
    <row r="36" spans="1:5" x14ac:dyDescent="0.35">
      <c r="A36" s="37" t="s">
        <v>147</v>
      </c>
      <c r="B36" s="60" t="s">
        <v>74</v>
      </c>
      <c r="C36" s="60">
        <v>1</v>
      </c>
      <c r="D36" s="60" t="s">
        <v>74</v>
      </c>
      <c r="E36" s="38">
        <f t="shared" si="2"/>
        <v>1</v>
      </c>
    </row>
    <row r="37" spans="1:5" x14ac:dyDescent="0.35">
      <c r="A37" s="46" t="s">
        <v>148</v>
      </c>
      <c r="B37" s="61" t="s">
        <v>74</v>
      </c>
      <c r="C37" s="61" t="s">
        <v>74</v>
      </c>
      <c r="D37" s="61">
        <v>1</v>
      </c>
      <c r="E37" s="38">
        <f t="shared" si="2"/>
        <v>1</v>
      </c>
    </row>
    <row r="38" spans="1:5" x14ac:dyDescent="0.35">
      <c r="A38" s="58" t="s">
        <v>153</v>
      </c>
      <c r="B38" s="75">
        <f t="shared" ref="B38:D38" si="3">ROUND(SUM(B24:B35),2)</f>
        <v>2</v>
      </c>
      <c r="C38" s="75">
        <f t="shared" si="3"/>
        <v>19</v>
      </c>
      <c r="D38" s="75">
        <f t="shared" si="3"/>
        <v>18</v>
      </c>
      <c r="E38" s="75">
        <f>ROUND(SUM(E24:E37),2)</f>
        <v>41</v>
      </c>
    </row>
  </sheetData>
  <sheetProtection algorithmName="SHA-512" hashValue="/rezoBPyt7GvtgayWE3xrJ4juek0iGkedIspd6j1mtU9FlMN+MwQ5AE+fCgWbMwf+3Xxezsjz5GbITsWjSeKkQ==" saltValue="Dth13+g5nH0Hpzxr+gsA7Q==" spinCount="100000" sheet="1" objects="1" scenarios="1"/>
  <mergeCells count="8">
    <mergeCell ref="A22:A23"/>
    <mergeCell ref="E22:E23"/>
    <mergeCell ref="B22:D22"/>
    <mergeCell ref="A21:E21"/>
    <mergeCell ref="A1:R1"/>
    <mergeCell ref="A2:A3"/>
    <mergeCell ref="B2:Q2"/>
    <mergeCell ref="R2:R3"/>
  </mergeCells>
  <pageMargins left="0.23622047244094491" right="0.23622047244094491" top="1.3385826771653544" bottom="0.74803149606299213" header="0.9055118110236221" footer="0.31496062992125984"/>
  <pageSetup scale="55"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CBDE-31D8-4F53-8B0C-AEBE5AEE9FF9}">
  <sheetPr codeName="Planilha3">
    <pageSetUpPr fitToPage="1"/>
  </sheetPr>
  <dimension ref="A1:F9"/>
  <sheetViews>
    <sheetView view="pageBreakPreview" zoomScaleNormal="100" zoomScaleSheetLayoutView="100" workbookViewId="0">
      <selection activeCell="F13" sqref="F13"/>
    </sheetView>
  </sheetViews>
  <sheetFormatPr defaultRowHeight="14.5" x14ac:dyDescent="0.35"/>
  <cols>
    <col min="1" max="1" width="32.1796875" bestFit="1" customWidth="1"/>
    <col min="2" max="4" width="13.6328125" customWidth="1"/>
    <col min="5" max="5" width="14.453125" customWidth="1"/>
    <col min="6" max="6" width="14.26953125" customWidth="1"/>
  </cols>
  <sheetData>
    <row r="1" spans="1:6" x14ac:dyDescent="0.35">
      <c r="A1" s="131" t="s">
        <v>130</v>
      </c>
      <c r="B1" s="132"/>
      <c r="C1" s="132"/>
      <c r="D1" s="132"/>
      <c r="E1" s="132"/>
      <c r="F1" s="133"/>
    </row>
    <row r="2" spans="1:6" ht="58" customHeight="1" x14ac:dyDescent="0.35">
      <c r="A2" s="32" t="s">
        <v>108</v>
      </c>
      <c r="B2" s="128" t="s">
        <v>114</v>
      </c>
      <c r="C2" s="129"/>
      <c r="D2" s="129"/>
      <c r="E2" s="129"/>
      <c r="F2" s="130"/>
    </row>
    <row r="3" spans="1:6" ht="50" x14ac:dyDescent="0.35">
      <c r="A3" s="63" t="s">
        <v>128</v>
      </c>
      <c r="B3" s="62" t="s">
        <v>191</v>
      </c>
      <c r="C3" s="62" t="s">
        <v>193</v>
      </c>
      <c r="D3" s="62" t="s">
        <v>194</v>
      </c>
      <c r="E3" s="62" t="s">
        <v>196</v>
      </c>
      <c r="F3" s="62" t="s">
        <v>197</v>
      </c>
    </row>
    <row r="4" spans="1:6" ht="15" customHeight="1" x14ac:dyDescent="0.35">
      <c r="A4" s="66" t="e">
        <f>#REF!</f>
        <v>#REF!</v>
      </c>
      <c r="B4" s="60">
        <v>1</v>
      </c>
      <c r="C4" s="33">
        <v>84</v>
      </c>
      <c r="D4" s="33">
        <v>36</v>
      </c>
      <c r="E4" s="33">
        <f>ROUND(SUM(C4:D4),2)</f>
        <v>120</v>
      </c>
      <c r="F4" s="33">
        <f>ROUND(B4*E4,2)</f>
        <v>120</v>
      </c>
    </row>
    <row r="5" spans="1:6" ht="15" customHeight="1" x14ac:dyDescent="0.35">
      <c r="A5" s="73" t="e">
        <f>#REF!</f>
        <v>#REF!</v>
      </c>
      <c r="B5" s="61">
        <v>2</v>
      </c>
      <c r="C5" s="45">
        <v>21</v>
      </c>
      <c r="D5" s="45">
        <v>9</v>
      </c>
      <c r="E5" s="45">
        <f>ROUND(SUM(C5:D5),2)</f>
        <v>30</v>
      </c>
      <c r="F5" s="45">
        <f t="shared" ref="F5" si="0">ROUND(B5*E5,2)</f>
        <v>60</v>
      </c>
    </row>
    <row r="6" spans="1:6" ht="15" customHeight="1" x14ac:dyDescent="0.35">
      <c r="A6" s="66" t="e">
        <f>#REF!</f>
        <v>#REF!</v>
      </c>
      <c r="B6" s="60">
        <v>1</v>
      </c>
      <c r="C6" s="33">
        <v>21</v>
      </c>
      <c r="D6" s="33">
        <v>9</v>
      </c>
      <c r="E6" s="33">
        <f>ROUND(SUM(C6:D6),2)</f>
        <v>30</v>
      </c>
      <c r="F6" s="33">
        <f t="shared" ref="F6" si="1">ROUND(B6*E6,2)</f>
        <v>30</v>
      </c>
    </row>
    <row r="7" spans="1:6" ht="15" customHeight="1" x14ac:dyDescent="0.35">
      <c r="A7" s="73" t="e">
        <f>#REF!</f>
        <v>#REF!</v>
      </c>
      <c r="B7" s="61">
        <v>1</v>
      </c>
      <c r="C7" s="45">
        <v>40</v>
      </c>
      <c r="D7" s="45">
        <v>4</v>
      </c>
      <c r="E7" s="45">
        <f t="shared" ref="E7" si="2">ROUND(SUM(C7:D7),2)</f>
        <v>44</v>
      </c>
      <c r="F7" s="45">
        <f t="shared" ref="F7:F8" si="3">ROUND(B7*E7,2)</f>
        <v>44</v>
      </c>
    </row>
    <row r="8" spans="1:6" ht="15" customHeight="1" x14ac:dyDescent="0.35">
      <c r="A8" s="66" t="e">
        <f>#REF!</f>
        <v>#REF!</v>
      </c>
      <c r="B8" s="60">
        <v>2</v>
      </c>
      <c r="C8" s="33">
        <v>40</v>
      </c>
      <c r="D8" s="33">
        <v>4</v>
      </c>
      <c r="E8" s="33">
        <f>ROUND(SUM(C8:D8),2)</f>
        <v>44</v>
      </c>
      <c r="F8" s="33">
        <f t="shared" si="3"/>
        <v>88</v>
      </c>
    </row>
    <row r="9" spans="1:6" x14ac:dyDescent="0.35">
      <c r="A9" s="77" t="s">
        <v>105</v>
      </c>
      <c r="B9" s="56">
        <f>ROUND(SUM(B3:B8),2)</f>
        <v>7</v>
      </c>
      <c r="C9" s="57">
        <f>ROUND(SUM(C3:C8),2)</f>
        <v>206</v>
      </c>
      <c r="D9" s="57">
        <f>ROUND(SUM(D3:D8),2)</f>
        <v>62</v>
      </c>
      <c r="E9" s="57">
        <f>ROUND(SUM(E3:E8),2)</f>
        <v>268</v>
      </c>
      <c r="F9" s="57">
        <f>ROUND(SUM(F3:F8),2)</f>
        <v>342</v>
      </c>
    </row>
  </sheetData>
  <sheetProtection algorithmName="SHA-512" hashValue="bfIbuZmicQrrfbw6gyTmqVYKHMn5jIYHiQyFUuqxbFUY7FZyYMRKVlBjMTqQ24c3jM7ftPt0TvDrm6462ZiN+w==" saltValue="Psg8r2OwDsVeuSGamtR9tg==" spinCount="100000" sheet="1" objects="1" scenarios="1"/>
  <mergeCells count="2">
    <mergeCell ref="B2:F2"/>
    <mergeCell ref="A1:F1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130B-8E29-4FE9-AAFF-91ED0F5EB12B}">
  <sheetPr codeName="Planilha4">
    <pageSetUpPr fitToPage="1"/>
  </sheetPr>
  <dimension ref="A1:E7"/>
  <sheetViews>
    <sheetView view="pageBreakPreview" zoomScaleNormal="100" zoomScaleSheetLayoutView="100" workbookViewId="0">
      <selection activeCell="F13" sqref="F13"/>
    </sheetView>
  </sheetViews>
  <sheetFormatPr defaultRowHeight="14.5" x14ac:dyDescent="0.35"/>
  <cols>
    <col min="1" max="1" width="32.1796875" customWidth="1"/>
    <col min="2" max="2" width="13.6328125" customWidth="1"/>
    <col min="3" max="3" width="10.6328125" customWidth="1"/>
    <col min="4" max="4" width="32.1796875" customWidth="1"/>
    <col min="5" max="5" width="14.453125" customWidth="1"/>
    <col min="6" max="7" width="14.26953125" customWidth="1"/>
    <col min="8" max="8" width="14.6328125" customWidth="1"/>
  </cols>
  <sheetData>
    <row r="1" spans="1:5" x14ac:dyDescent="0.35">
      <c r="A1" s="131" t="s">
        <v>129</v>
      </c>
      <c r="B1" s="133"/>
      <c r="D1" s="131" t="s">
        <v>111</v>
      </c>
      <c r="E1" s="133"/>
    </row>
    <row r="2" spans="1:5" ht="37.5" customHeight="1" x14ac:dyDescent="0.35">
      <c r="A2" s="63" t="s">
        <v>195</v>
      </c>
      <c r="B2" s="62" t="s">
        <v>103</v>
      </c>
      <c r="D2" s="63" t="s">
        <v>195</v>
      </c>
      <c r="E2" s="62" t="s">
        <v>103</v>
      </c>
    </row>
    <row r="3" spans="1:5" x14ac:dyDescent="0.35">
      <c r="A3" s="59" t="s">
        <v>127</v>
      </c>
      <c r="B3" s="33">
        <v>6</v>
      </c>
      <c r="D3" s="59" t="s">
        <v>126</v>
      </c>
      <c r="E3" s="33">
        <v>50</v>
      </c>
    </row>
    <row r="4" spans="1:5" x14ac:dyDescent="0.35">
      <c r="A4" s="58" t="s">
        <v>105</v>
      </c>
      <c r="B4" s="64">
        <f>ROUND(SUM(B3:B3),2)</f>
        <v>6</v>
      </c>
      <c r="D4" s="59" t="s">
        <v>127</v>
      </c>
      <c r="E4" s="33">
        <v>15</v>
      </c>
    </row>
    <row r="5" spans="1:5" x14ac:dyDescent="0.35">
      <c r="D5" s="58" t="s">
        <v>105</v>
      </c>
      <c r="E5" s="64">
        <f>ROUND(SUM(E3:E4),2)</f>
        <v>65</v>
      </c>
    </row>
    <row r="6" spans="1:5" ht="15" customHeight="1" x14ac:dyDescent="0.35">
      <c r="C6" s="67"/>
    </row>
    <row r="7" spans="1:5" ht="26.5" customHeight="1" x14ac:dyDescent="0.35"/>
  </sheetData>
  <sheetProtection algorithmName="SHA-512" hashValue="pJKzmgoRfeRN7BRM/ESt0tLaHMlUZ49qD0jHHL5ODkfCKUsuvAafQTFD6aC7iWQP5OO91SGWEYC7tvnC7n7wTA==" saltValue="S+PKUeIYnRewNjz/NDwZGw==" spinCount="100000" sheet="1" objects="1" scenarios="1"/>
  <mergeCells count="2">
    <mergeCell ref="A1:B1"/>
    <mergeCell ref="D1:E1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90EA-80D4-4F73-9300-7B98F1CC0A8A}">
  <sheetPr codeName="Planilha5">
    <pageSetUpPr fitToPage="1"/>
  </sheetPr>
  <dimension ref="A1:K22"/>
  <sheetViews>
    <sheetView tabSelected="1" view="pageBreakPreview" zoomScaleNormal="100" zoomScaleSheetLayoutView="100" workbookViewId="0">
      <selection activeCell="E6" sqref="E6"/>
    </sheetView>
  </sheetViews>
  <sheetFormatPr defaultRowHeight="14.5" x14ac:dyDescent="0.35"/>
  <cols>
    <col min="2" max="2" width="32.1796875" bestFit="1" customWidth="1"/>
    <col min="3" max="4" width="13.6328125" customWidth="1"/>
    <col min="5" max="8" width="15.6328125" customWidth="1"/>
    <col min="9" max="9" width="14.6328125" customWidth="1"/>
  </cols>
  <sheetData>
    <row r="1" spans="1:8" ht="15.5" thickTop="1" thickBot="1" x14ac:dyDescent="0.4">
      <c r="A1" s="134" t="s">
        <v>131</v>
      </c>
      <c r="B1" s="134"/>
      <c r="C1" s="134"/>
      <c r="D1" s="134"/>
      <c r="E1" s="134"/>
      <c r="F1" s="134"/>
      <c r="G1" s="134"/>
      <c r="H1" s="134"/>
    </row>
    <row r="2" spans="1:8" ht="15.5" customHeight="1" thickTop="1" thickBot="1" x14ac:dyDescent="0.4">
      <c r="A2" s="76" t="s">
        <v>82</v>
      </c>
      <c r="B2" s="135" t="s">
        <v>187</v>
      </c>
      <c r="C2" s="135"/>
      <c r="D2" s="136"/>
      <c r="E2" s="136"/>
      <c r="F2" s="136"/>
      <c r="G2" s="136"/>
      <c r="H2" s="136"/>
    </row>
    <row r="3" spans="1:8" ht="38" customHeight="1" thickTop="1" thickBot="1" x14ac:dyDescent="0.4">
      <c r="A3" s="100" t="s">
        <v>79</v>
      </c>
      <c r="B3" s="138" t="s">
        <v>128</v>
      </c>
      <c r="C3" s="138"/>
      <c r="D3" s="101" t="s">
        <v>174</v>
      </c>
      <c r="E3" s="99" t="s">
        <v>81</v>
      </c>
      <c r="F3" s="99" t="s">
        <v>133</v>
      </c>
      <c r="G3" s="99" t="s">
        <v>134</v>
      </c>
      <c r="H3" s="99" t="s">
        <v>135</v>
      </c>
    </row>
    <row r="4" spans="1:8" ht="15.5" thickTop="1" thickBot="1" x14ac:dyDescent="0.4">
      <c r="A4" s="78" t="s">
        <v>132</v>
      </c>
      <c r="B4" s="139" t="str">
        <f>'Agente de Limpeza'!B2:D2</f>
        <v>Agente de Limpeza</v>
      </c>
      <c r="C4" s="139"/>
      <c r="D4" s="79">
        <v>3</v>
      </c>
      <c r="E4" s="70">
        <f>'Agente de Limpeza'!D96</f>
        <v>3945.02</v>
      </c>
      <c r="F4" s="70">
        <f>ROUND(D4*E4,2)</f>
        <v>11835.06</v>
      </c>
      <c r="G4" s="70">
        <f>ROUND(F4*12,2)</f>
        <v>142020.72</v>
      </c>
      <c r="H4" s="70">
        <f>ROUND(G4*2,2)</f>
        <v>284041.44</v>
      </c>
    </row>
    <row r="5" spans="1:8" ht="15.5" thickTop="1" thickBot="1" x14ac:dyDescent="0.4">
      <c r="A5" s="78" t="s">
        <v>202</v>
      </c>
      <c r="B5" s="139" t="str">
        <f>'Agente de Limpeza Hab'!B2:D2</f>
        <v>Agente de Limpeza Habilitado para Operar Roçadeira</v>
      </c>
      <c r="C5" s="139"/>
      <c r="D5" s="79">
        <v>1</v>
      </c>
      <c r="E5" s="70">
        <f>'Agente de Limpeza Hab'!D96</f>
        <v>4604.0600000000004</v>
      </c>
      <c r="F5" s="70">
        <f>ROUND(D5*E5,2)</f>
        <v>4604.0600000000004</v>
      </c>
      <c r="G5" s="70">
        <f>ROUND(F5*12,2)</f>
        <v>55248.72</v>
      </c>
      <c r="H5" s="70">
        <f>ROUND(G5*2,2)</f>
        <v>110497.44</v>
      </c>
    </row>
    <row r="6" spans="1:8" ht="15.5" thickTop="1" thickBot="1" x14ac:dyDescent="0.4">
      <c r="A6" s="137" t="s">
        <v>190</v>
      </c>
      <c r="B6" s="137"/>
      <c r="C6" s="137"/>
      <c r="D6" s="71">
        <f>ROUND(SUM(D4:D4),2)</f>
        <v>3</v>
      </c>
      <c r="E6" s="72">
        <f>ROUND(SUM(E4:E4),2)</f>
        <v>3945.02</v>
      </c>
      <c r="F6" s="72">
        <f>ROUND(SUM(F4:F4),2)</f>
        <v>11835.06</v>
      </c>
      <c r="G6" s="72">
        <f>ROUND(SUM(G4:G4),2)</f>
        <v>142020.72</v>
      </c>
      <c r="H6" s="72">
        <f>ROUND(SUM(H4:H4),2)</f>
        <v>284041.44</v>
      </c>
    </row>
    <row r="7" spans="1:8" ht="8" customHeight="1" thickTop="1" thickBot="1" x14ac:dyDescent="0.4"/>
    <row r="8" spans="1:8" ht="26" customHeight="1" thickTop="1" thickBot="1" x14ac:dyDescent="0.4">
      <c r="A8" s="76" t="s">
        <v>185</v>
      </c>
      <c r="B8" s="138" t="s">
        <v>93</v>
      </c>
      <c r="C8" s="138"/>
      <c r="D8" s="138"/>
      <c r="E8" s="138"/>
      <c r="F8" s="99" t="s">
        <v>321</v>
      </c>
      <c r="G8" s="99" t="s">
        <v>320</v>
      </c>
      <c r="H8" s="99" t="s">
        <v>322</v>
      </c>
    </row>
    <row r="9" spans="1:8" ht="15.5" thickTop="1" thickBot="1" x14ac:dyDescent="0.4">
      <c r="A9" s="69" t="s">
        <v>186</v>
      </c>
      <c r="B9" s="142" t="s">
        <v>319</v>
      </c>
      <c r="C9" s="142"/>
      <c r="D9" s="142"/>
      <c r="E9" s="142"/>
      <c r="F9" s="70">
        <f>ROUND(G9/12,2)</f>
        <v>11783.32</v>
      </c>
      <c r="G9" s="70">
        <f>'Material de Limpeza'!D54:D54</f>
        <v>141399.78</v>
      </c>
      <c r="H9" s="70">
        <f>ROUND(G9*2,2)</f>
        <v>282799.56</v>
      </c>
    </row>
    <row r="10" spans="1:8" ht="15.5" thickTop="1" thickBot="1" x14ac:dyDescent="0.4">
      <c r="A10" s="137" t="s">
        <v>189</v>
      </c>
      <c r="B10" s="137"/>
      <c r="C10" s="137"/>
      <c r="D10" s="137"/>
      <c r="E10" s="137"/>
      <c r="F10" s="72">
        <f>ROUND(SUM(F9:F9),2)</f>
        <v>11783.32</v>
      </c>
      <c r="G10" s="72">
        <f>ROUND(SUM(G9:G9),2)</f>
        <v>141399.78</v>
      </c>
      <c r="H10" s="72">
        <f>ROUND(SUM(H9:H9),2)</f>
        <v>282799.56</v>
      </c>
    </row>
    <row r="11" spans="1:8" ht="8" customHeight="1" thickTop="1" thickBot="1" x14ac:dyDescent="0.4"/>
    <row r="12" spans="1:8" ht="15.5" customHeight="1" thickTop="1" thickBot="1" x14ac:dyDescent="0.4">
      <c r="A12" s="138" t="s">
        <v>188</v>
      </c>
      <c r="B12" s="138"/>
      <c r="C12" s="138"/>
      <c r="D12" s="138"/>
      <c r="E12" s="138"/>
      <c r="F12" s="138"/>
      <c r="G12" s="138"/>
      <c r="H12" s="138"/>
    </row>
    <row r="13" spans="1:8" ht="15.5" thickTop="1" thickBot="1" x14ac:dyDescent="0.4">
      <c r="A13" s="137" t="s">
        <v>325</v>
      </c>
      <c r="B13" s="137"/>
      <c r="C13" s="137"/>
      <c r="D13" s="137"/>
      <c r="E13" s="137"/>
      <c r="F13" s="144">
        <f>ROUND(F14/12,2)</f>
        <v>23618.38</v>
      </c>
      <c r="G13" s="145"/>
      <c r="H13" s="145"/>
    </row>
    <row r="14" spans="1:8" ht="15.5" thickTop="1" thickBot="1" x14ac:dyDescent="0.4">
      <c r="A14" s="137" t="s">
        <v>324</v>
      </c>
      <c r="B14" s="137"/>
      <c r="C14" s="137"/>
      <c r="D14" s="137"/>
      <c r="E14" s="137"/>
      <c r="F14" s="144">
        <f>ROUND(G6+G10,2)</f>
        <v>283420.5</v>
      </c>
      <c r="G14" s="144"/>
      <c r="H14" s="144"/>
    </row>
    <row r="15" spans="1:8" ht="15.5" thickTop="1" thickBot="1" x14ac:dyDescent="0.4">
      <c r="A15" s="137" t="s">
        <v>326</v>
      </c>
      <c r="B15" s="137"/>
      <c r="C15" s="137"/>
      <c r="D15" s="137"/>
      <c r="E15" s="137"/>
      <c r="F15" s="144">
        <f>ROUND(F14*2,2)</f>
        <v>566841</v>
      </c>
      <c r="G15" s="144"/>
      <c r="H15" s="144"/>
    </row>
    <row r="16" spans="1:8" ht="5" customHeight="1" thickTop="1" x14ac:dyDescent="0.35"/>
    <row r="17" spans="1:11" ht="15" customHeight="1" thickBot="1" x14ac:dyDescent="0.4"/>
    <row r="18" spans="1:11" ht="15.5" thickTop="1" thickBot="1" x14ac:dyDescent="0.4">
      <c r="F18" s="143">
        <f ca="1">TODAY()</f>
        <v>45191</v>
      </c>
      <c r="G18" s="143"/>
      <c r="H18" s="143"/>
    </row>
    <row r="19" spans="1:11" ht="15" thickTop="1" x14ac:dyDescent="0.35">
      <c r="A19" s="20"/>
      <c r="B19" s="20"/>
      <c r="C19" s="20"/>
      <c r="F19" s="97"/>
      <c r="G19" s="20"/>
      <c r="H19" s="20"/>
      <c r="I19" s="20"/>
    </row>
    <row r="20" spans="1:11" ht="15" thickBot="1" x14ac:dyDescent="0.4">
      <c r="A20" s="20"/>
      <c r="B20" s="20"/>
      <c r="C20" s="20"/>
      <c r="F20" s="98"/>
      <c r="G20" s="20"/>
      <c r="H20" s="20"/>
      <c r="I20" s="20"/>
    </row>
    <row r="21" spans="1:11" ht="15" customHeight="1" thickTop="1" thickBot="1" x14ac:dyDescent="0.4">
      <c r="A21" s="138" t="s">
        <v>83</v>
      </c>
      <c r="B21" s="138"/>
      <c r="C21" s="138"/>
      <c r="G21" s="20"/>
      <c r="H21" s="20"/>
      <c r="I21" s="20"/>
      <c r="J21" s="20"/>
      <c r="K21" s="20"/>
    </row>
    <row r="22" spans="1:11" ht="44.5" customHeight="1" thickTop="1" x14ac:dyDescent="0.35">
      <c r="A22" s="20"/>
      <c r="B22" s="20"/>
      <c r="C22" s="20"/>
      <c r="D22" s="140" t="s">
        <v>84</v>
      </c>
      <c r="E22" s="141"/>
      <c r="F22" s="141"/>
      <c r="G22" s="20"/>
      <c r="H22" s="20"/>
      <c r="I22" s="20"/>
      <c r="J22" s="20"/>
      <c r="K22" s="20"/>
    </row>
  </sheetData>
  <mergeCells count="19">
    <mergeCell ref="D22:F22"/>
    <mergeCell ref="B8:E8"/>
    <mergeCell ref="B9:E9"/>
    <mergeCell ref="A10:E10"/>
    <mergeCell ref="A12:H12"/>
    <mergeCell ref="F18:H18"/>
    <mergeCell ref="A13:E13"/>
    <mergeCell ref="A14:E14"/>
    <mergeCell ref="A15:E15"/>
    <mergeCell ref="F13:H13"/>
    <mergeCell ref="F15:H15"/>
    <mergeCell ref="A21:C21"/>
    <mergeCell ref="F14:H14"/>
    <mergeCell ref="A1:H1"/>
    <mergeCell ref="B2:H2"/>
    <mergeCell ref="A6:C6"/>
    <mergeCell ref="B3:C3"/>
    <mergeCell ref="B4:C4"/>
    <mergeCell ref="B5:C5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7224-E0AF-4DFA-953E-2524DE3C2A32}">
  <sheetPr codeName="Planilha6">
    <pageSetUpPr fitToPage="1"/>
  </sheetPr>
  <dimension ref="A1:L113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  <col min="5" max="5" width="55.6328125" customWidth="1"/>
  </cols>
  <sheetData>
    <row r="1" spans="1:12" x14ac:dyDescent="0.35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30.5" customHeight="1" x14ac:dyDescent="0.35">
      <c r="A2" s="22" t="s">
        <v>2</v>
      </c>
      <c r="B2" s="180" t="s">
        <v>203</v>
      </c>
      <c r="C2" s="181"/>
      <c r="D2" s="182"/>
      <c r="E2" s="2"/>
    </row>
    <row r="3" spans="1:12" ht="15" customHeight="1" x14ac:dyDescent="0.35">
      <c r="A3" s="22" t="s">
        <v>75</v>
      </c>
      <c r="B3" s="183" t="s">
        <v>205</v>
      </c>
      <c r="C3" s="184"/>
      <c r="D3" s="185"/>
      <c r="E3" s="2"/>
    </row>
    <row r="4" spans="1:12" ht="15" customHeight="1" x14ac:dyDescent="0.35">
      <c r="A4" s="23" t="s">
        <v>1</v>
      </c>
      <c r="B4" s="180" t="s">
        <v>198</v>
      </c>
      <c r="C4" s="181"/>
      <c r="D4" s="182"/>
      <c r="E4" s="2"/>
    </row>
    <row r="5" spans="1:12" ht="26" x14ac:dyDescent="0.35">
      <c r="A5" s="23" t="s">
        <v>3</v>
      </c>
      <c r="B5" s="186">
        <v>3</v>
      </c>
      <c r="C5" s="184"/>
      <c r="D5" s="185"/>
      <c r="E5" s="2"/>
    </row>
    <row r="6" spans="1:12" ht="39" x14ac:dyDescent="0.35">
      <c r="A6" s="23" t="s">
        <v>76</v>
      </c>
      <c r="B6" s="180" t="s">
        <v>206</v>
      </c>
      <c r="C6" s="181"/>
      <c r="D6" s="182"/>
      <c r="E6" s="2"/>
    </row>
    <row r="7" spans="1:12" ht="15" customHeight="1" x14ac:dyDescent="0.35">
      <c r="A7" s="2"/>
      <c r="B7" s="15"/>
      <c r="C7" s="2"/>
      <c r="D7" s="2"/>
      <c r="E7" s="2"/>
    </row>
    <row r="8" spans="1:12" x14ac:dyDescent="0.35">
      <c r="A8" s="190" t="s">
        <v>4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</row>
    <row r="9" spans="1:12" x14ac:dyDescent="0.35">
      <c r="A9" s="189" t="s">
        <v>85</v>
      </c>
      <c r="B9" s="191"/>
      <c r="C9" s="191"/>
      <c r="D9" s="192"/>
      <c r="E9" s="193" t="s">
        <v>18</v>
      </c>
      <c r="F9" s="164" t="s">
        <v>40</v>
      </c>
      <c r="G9" s="164"/>
      <c r="H9" s="164"/>
      <c r="I9" s="164"/>
      <c r="J9" s="164"/>
      <c r="K9" s="164"/>
      <c r="L9" s="164"/>
    </row>
    <row r="10" spans="1:12" x14ac:dyDescent="0.35">
      <c r="A10" s="194" t="s">
        <v>5</v>
      </c>
      <c r="B10" s="195"/>
      <c r="C10" s="24" t="s">
        <v>6</v>
      </c>
      <c r="D10" s="24" t="s">
        <v>7</v>
      </c>
      <c r="E10" s="164"/>
      <c r="F10" s="164"/>
      <c r="G10" s="164"/>
      <c r="H10" s="164"/>
      <c r="I10" s="164"/>
      <c r="J10" s="164"/>
      <c r="K10" s="164"/>
      <c r="L10" s="164"/>
    </row>
    <row r="11" spans="1:12" x14ac:dyDescent="0.35">
      <c r="A11" s="128" t="s">
        <v>8</v>
      </c>
      <c r="B11" s="130"/>
      <c r="C11" s="21" t="s">
        <v>74</v>
      </c>
      <c r="D11" s="3">
        <v>1348</v>
      </c>
      <c r="E11" s="19" t="s">
        <v>207</v>
      </c>
      <c r="F11" s="168"/>
      <c r="G11" s="168"/>
      <c r="H11" s="168"/>
      <c r="I11" s="168"/>
      <c r="J11" s="168"/>
      <c r="K11" s="168"/>
      <c r="L11" s="168"/>
    </row>
    <row r="12" spans="1:12" ht="15" customHeight="1" x14ac:dyDescent="0.35">
      <c r="A12" s="196" t="s">
        <v>80</v>
      </c>
      <c r="B12" s="197"/>
      <c r="C12" s="54"/>
      <c r="D12" s="41">
        <f>C12*D11/100</f>
        <v>0</v>
      </c>
      <c r="E12" s="49" t="s">
        <v>74</v>
      </c>
      <c r="F12" s="168"/>
      <c r="G12" s="168"/>
      <c r="H12" s="168"/>
      <c r="I12" s="168"/>
      <c r="J12" s="168"/>
      <c r="K12" s="168"/>
      <c r="L12" s="168"/>
    </row>
    <row r="13" spans="1:12" x14ac:dyDescent="0.35">
      <c r="A13" s="187" t="s">
        <v>29</v>
      </c>
      <c r="B13" s="187"/>
      <c r="C13" s="187"/>
      <c r="D13" s="28">
        <f>ROUND(SUM(D11:D12),2)</f>
        <v>1348</v>
      </c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164" t="s">
        <v>86</v>
      </c>
      <c r="B15" s="164"/>
      <c r="C15" s="164"/>
      <c r="D15" s="164"/>
      <c r="E15" s="188" t="s">
        <v>18</v>
      </c>
      <c r="F15" s="2"/>
      <c r="G15" s="2"/>
      <c r="H15" s="2"/>
      <c r="I15" s="2"/>
      <c r="J15" s="2"/>
      <c r="K15" s="2"/>
      <c r="L15" s="2"/>
    </row>
    <row r="16" spans="1:12" x14ac:dyDescent="0.35">
      <c r="A16" s="164" t="s">
        <v>19</v>
      </c>
      <c r="B16" s="164"/>
      <c r="C16" s="24" t="s">
        <v>6</v>
      </c>
      <c r="D16" s="24" t="s">
        <v>7</v>
      </c>
      <c r="E16" s="189"/>
      <c r="F16" s="2"/>
      <c r="G16" s="2"/>
      <c r="H16" s="2"/>
      <c r="I16" s="2"/>
      <c r="J16" s="2"/>
      <c r="K16" s="2"/>
      <c r="L16" s="2"/>
    </row>
    <row r="17" spans="1:12" x14ac:dyDescent="0.35">
      <c r="A17" s="128" t="s">
        <v>20</v>
      </c>
      <c r="B17" s="130"/>
      <c r="C17" s="10">
        <v>0.2</v>
      </c>
      <c r="D17" s="4">
        <f t="shared" ref="D17:D24" si="0">ROUND($D$13*C17,2)</f>
        <v>269.60000000000002</v>
      </c>
      <c r="E17" s="19" t="s">
        <v>10</v>
      </c>
      <c r="F17" s="2"/>
      <c r="G17" s="2"/>
      <c r="H17" s="2"/>
      <c r="I17" s="2"/>
      <c r="J17" s="2"/>
      <c r="K17" s="2"/>
      <c r="L17" s="2"/>
    </row>
    <row r="18" spans="1:12" x14ac:dyDescent="0.35">
      <c r="A18" s="146" t="s">
        <v>21</v>
      </c>
      <c r="B18" s="147"/>
      <c r="C18" s="53">
        <v>0.08</v>
      </c>
      <c r="D18" s="41">
        <f t="shared" si="0"/>
        <v>107.84</v>
      </c>
      <c r="E18" s="49" t="s">
        <v>11</v>
      </c>
      <c r="F18" s="2"/>
      <c r="G18" s="2"/>
      <c r="H18" s="2"/>
      <c r="I18" s="2"/>
      <c r="J18" s="2"/>
      <c r="K18" s="2"/>
      <c r="L18" s="2"/>
    </row>
    <row r="19" spans="1:12" x14ac:dyDescent="0.35">
      <c r="A19" s="128" t="s">
        <v>22</v>
      </c>
      <c r="B19" s="130"/>
      <c r="C19" s="10">
        <v>1.4999999999999999E-2</v>
      </c>
      <c r="D19" s="4">
        <f t="shared" si="0"/>
        <v>20.22</v>
      </c>
      <c r="E19" s="19" t="s">
        <v>12</v>
      </c>
      <c r="F19" s="2"/>
      <c r="G19" s="2"/>
      <c r="H19" s="2"/>
      <c r="I19" s="2"/>
      <c r="J19" s="2"/>
      <c r="K19" s="2"/>
      <c r="L19" s="2"/>
    </row>
    <row r="20" spans="1:12" ht="25.5" customHeight="1" x14ac:dyDescent="0.35">
      <c r="A20" s="146" t="s">
        <v>23</v>
      </c>
      <c r="B20" s="147"/>
      <c r="C20" s="53">
        <v>0.01</v>
      </c>
      <c r="D20" s="41">
        <f t="shared" si="0"/>
        <v>13.48</v>
      </c>
      <c r="E20" s="49" t="s">
        <v>13</v>
      </c>
      <c r="F20" s="2"/>
      <c r="G20" s="2"/>
      <c r="H20" s="2"/>
      <c r="I20" s="2"/>
      <c r="J20" s="2"/>
      <c r="K20" s="2"/>
      <c r="L20" s="2"/>
    </row>
    <row r="21" spans="1:12" ht="28.5" customHeight="1" x14ac:dyDescent="0.35">
      <c r="A21" s="128" t="s">
        <v>24</v>
      </c>
      <c r="B21" s="130"/>
      <c r="C21" s="10">
        <v>2E-3</v>
      </c>
      <c r="D21" s="4">
        <f t="shared" si="0"/>
        <v>2.7</v>
      </c>
      <c r="E21" s="19" t="s">
        <v>14</v>
      </c>
      <c r="F21" s="2"/>
      <c r="G21" s="2"/>
      <c r="H21" s="2"/>
      <c r="I21" s="2"/>
      <c r="J21" s="2"/>
      <c r="K21" s="2"/>
      <c r="L21" s="2"/>
    </row>
    <row r="22" spans="1:12" x14ac:dyDescent="0.35">
      <c r="A22" s="146" t="s">
        <v>25</v>
      </c>
      <c r="B22" s="147"/>
      <c r="C22" s="53">
        <v>6.0000000000000001E-3</v>
      </c>
      <c r="D22" s="41">
        <f t="shared" si="0"/>
        <v>8.09</v>
      </c>
      <c r="E22" s="49" t="s">
        <v>15</v>
      </c>
      <c r="F22" s="2"/>
      <c r="G22" s="2"/>
      <c r="H22" s="2"/>
      <c r="I22" s="2"/>
      <c r="J22" s="2"/>
      <c r="K22" s="2"/>
      <c r="L22" s="2"/>
    </row>
    <row r="23" spans="1:12" x14ac:dyDescent="0.35">
      <c r="A23" s="177" t="s">
        <v>26</v>
      </c>
      <c r="B23" s="178"/>
      <c r="C23" s="10">
        <v>2.5000000000000001E-2</v>
      </c>
      <c r="D23" s="4">
        <f t="shared" si="0"/>
        <v>33.700000000000003</v>
      </c>
      <c r="E23" s="19" t="s">
        <v>16</v>
      </c>
      <c r="F23" s="2"/>
      <c r="G23" s="2"/>
      <c r="H23" s="2"/>
      <c r="I23" s="2"/>
      <c r="J23" s="2"/>
      <c r="K23" s="2"/>
      <c r="L23" s="2"/>
    </row>
    <row r="24" spans="1:12" ht="55.5" customHeight="1" x14ac:dyDescent="0.35">
      <c r="A24" s="196" t="s">
        <v>27</v>
      </c>
      <c r="B24" s="197"/>
      <c r="C24" s="80">
        <v>0.06</v>
      </c>
      <c r="D24" s="41">
        <f t="shared" si="0"/>
        <v>80.88</v>
      </c>
      <c r="E24" s="92" t="s">
        <v>208</v>
      </c>
      <c r="F24" s="2"/>
      <c r="G24" s="2"/>
      <c r="H24" s="2"/>
      <c r="I24" s="2"/>
      <c r="J24" s="2"/>
      <c r="K24" s="2"/>
      <c r="L24" s="2"/>
    </row>
    <row r="25" spans="1:12" x14ac:dyDescent="0.35">
      <c r="A25" s="161" t="s">
        <v>28</v>
      </c>
      <c r="B25" s="162"/>
      <c r="C25" s="29">
        <f>ROUND(SUM(C17:C24),5)</f>
        <v>0.39800000000000002</v>
      </c>
      <c r="D25" s="28">
        <f>ROUND(SUM(D17:D24),2)</f>
        <v>536.51</v>
      </c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18"/>
      <c r="B26" s="18"/>
      <c r="C26" s="5"/>
      <c r="D26" s="6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164" t="s">
        <v>30</v>
      </c>
      <c r="B27" s="164"/>
      <c r="C27" s="24" t="s">
        <v>6</v>
      </c>
      <c r="D27" s="24" t="s">
        <v>7</v>
      </c>
      <c r="E27" s="24" t="s">
        <v>18</v>
      </c>
      <c r="F27" s="164" t="s">
        <v>40</v>
      </c>
      <c r="G27" s="164"/>
      <c r="H27" s="164"/>
      <c r="I27" s="164"/>
      <c r="J27" s="164"/>
      <c r="K27" s="164"/>
      <c r="L27" s="164"/>
    </row>
    <row r="28" spans="1:12" ht="28" customHeight="1" x14ac:dyDescent="0.35">
      <c r="A28" s="177" t="s">
        <v>31</v>
      </c>
      <c r="B28" s="178"/>
      <c r="C28" s="8">
        <f>ROUND(1/12,5)</f>
        <v>8.3330000000000001E-2</v>
      </c>
      <c r="D28" s="4">
        <f t="shared" ref="D28:D35" si="1">ROUND($D$13*C28,2)</f>
        <v>112.33</v>
      </c>
      <c r="E28" s="19" t="s">
        <v>17</v>
      </c>
      <c r="F28" s="150" t="s">
        <v>219</v>
      </c>
      <c r="G28" s="150"/>
      <c r="H28" s="150"/>
      <c r="I28" s="150"/>
      <c r="J28" s="150"/>
      <c r="K28" s="150"/>
      <c r="L28" s="150"/>
    </row>
    <row r="29" spans="1:12" ht="28" customHeight="1" x14ac:dyDescent="0.35">
      <c r="A29" s="146" t="s">
        <v>209</v>
      </c>
      <c r="B29" s="147"/>
      <c r="C29" s="51">
        <f>ROUND(1/12,5)</f>
        <v>8.3330000000000001E-2</v>
      </c>
      <c r="D29" s="41">
        <f t="shared" si="1"/>
        <v>112.33</v>
      </c>
      <c r="E29" s="52" t="s">
        <v>17</v>
      </c>
      <c r="F29" s="150"/>
      <c r="G29" s="150"/>
      <c r="H29" s="150"/>
      <c r="I29" s="150"/>
      <c r="J29" s="150"/>
      <c r="K29" s="150"/>
      <c r="L29" s="150"/>
    </row>
    <row r="30" spans="1:12" ht="37.5" customHeight="1" x14ac:dyDescent="0.35">
      <c r="A30" s="128" t="s">
        <v>32</v>
      </c>
      <c r="B30" s="130"/>
      <c r="C30" s="9">
        <f>ROUND((((100% / 30) * 7) / 12),5)</f>
        <v>1.9439999999999999E-2</v>
      </c>
      <c r="D30" s="4">
        <f t="shared" si="1"/>
        <v>26.21</v>
      </c>
      <c r="E30" s="39" t="s">
        <v>39</v>
      </c>
      <c r="F30" s="150"/>
      <c r="G30" s="150"/>
      <c r="H30" s="150"/>
      <c r="I30" s="150"/>
      <c r="J30" s="150"/>
      <c r="K30" s="150"/>
      <c r="L30" s="150"/>
    </row>
    <row r="31" spans="1:12" ht="37.5" customHeight="1" x14ac:dyDescent="0.35">
      <c r="A31" s="146" t="s">
        <v>33</v>
      </c>
      <c r="B31" s="147"/>
      <c r="C31" s="51">
        <f>ROUND((1462463/54796761)/12,5)</f>
        <v>2.2200000000000002E-3</v>
      </c>
      <c r="D31" s="41">
        <f t="shared" si="1"/>
        <v>2.99</v>
      </c>
      <c r="E31" s="52" t="s">
        <v>214</v>
      </c>
      <c r="F31" s="150"/>
      <c r="G31" s="150"/>
      <c r="H31" s="150"/>
      <c r="I31" s="150"/>
      <c r="J31" s="150"/>
      <c r="K31" s="150"/>
      <c r="L31" s="150"/>
    </row>
    <row r="32" spans="1:12" ht="37.5" customHeight="1" x14ac:dyDescent="0.35">
      <c r="A32" s="128" t="s">
        <v>34</v>
      </c>
      <c r="B32" s="130"/>
      <c r="C32" s="9">
        <f>ROUND((((100%/30)*15)/12)*(717911/58981000),5)</f>
        <v>5.1000000000000004E-4</v>
      </c>
      <c r="D32" s="4">
        <f t="shared" si="1"/>
        <v>0.69</v>
      </c>
      <c r="E32" s="39" t="s">
        <v>215</v>
      </c>
      <c r="F32" s="150"/>
      <c r="G32" s="150"/>
      <c r="H32" s="150"/>
      <c r="I32" s="150"/>
      <c r="J32" s="150"/>
      <c r="K32" s="150"/>
      <c r="L32" s="150"/>
    </row>
    <row r="33" spans="1:12" ht="28" customHeight="1" x14ac:dyDescent="0.35">
      <c r="A33" s="146" t="s">
        <v>35</v>
      </c>
      <c r="B33" s="147"/>
      <c r="C33" s="51">
        <f>ROUND(((100%/30)*1.4947)/12,5)</f>
        <v>4.15E-3</v>
      </c>
      <c r="D33" s="41">
        <f t="shared" si="1"/>
        <v>5.59</v>
      </c>
      <c r="E33" s="52" t="s">
        <v>216</v>
      </c>
      <c r="F33" s="150"/>
      <c r="G33" s="150"/>
      <c r="H33" s="150"/>
      <c r="I33" s="150"/>
      <c r="J33" s="150"/>
      <c r="K33" s="150"/>
      <c r="L33" s="150"/>
    </row>
    <row r="34" spans="1:12" ht="37.5" customHeight="1" x14ac:dyDescent="0.35">
      <c r="A34" s="128" t="s">
        <v>36</v>
      </c>
      <c r="B34" s="130"/>
      <c r="C34" s="9">
        <f>ROUND(8.333%*1.416%*4/12,5)</f>
        <v>3.8999999999999999E-4</v>
      </c>
      <c r="D34" s="4">
        <f t="shared" si="1"/>
        <v>0.53</v>
      </c>
      <c r="E34" s="39" t="s">
        <v>217</v>
      </c>
      <c r="F34" s="150"/>
      <c r="G34" s="150"/>
      <c r="H34" s="150"/>
      <c r="I34" s="150"/>
      <c r="J34" s="150"/>
      <c r="K34" s="150"/>
      <c r="L34" s="150"/>
    </row>
    <row r="35" spans="1:12" ht="37.5" customHeight="1" x14ac:dyDescent="0.35">
      <c r="A35" s="146" t="s">
        <v>37</v>
      </c>
      <c r="B35" s="147"/>
      <c r="C35" s="51">
        <f>ROUND((((100%/30)*5)/12)*1.416%,5)</f>
        <v>2.0000000000000001E-4</v>
      </c>
      <c r="D35" s="41">
        <f t="shared" si="1"/>
        <v>0.27</v>
      </c>
      <c r="E35" s="52" t="s">
        <v>218</v>
      </c>
      <c r="F35" s="150"/>
      <c r="G35" s="150"/>
      <c r="H35" s="150"/>
      <c r="I35" s="150"/>
      <c r="J35" s="150"/>
      <c r="K35" s="150"/>
      <c r="L35" s="150"/>
    </row>
    <row r="36" spans="1:12" x14ac:dyDescent="0.35">
      <c r="A36" s="161" t="s">
        <v>38</v>
      </c>
      <c r="B36" s="162"/>
      <c r="C36" s="29">
        <f>ROUND(SUM(C28:C35),5)</f>
        <v>0.19356999999999999</v>
      </c>
      <c r="D36" s="28">
        <f>ROUND(SUM(D28:D35),2)</f>
        <v>260.94</v>
      </c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18"/>
      <c r="B37" s="18"/>
      <c r="C37" s="7"/>
      <c r="D37" s="6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169" t="s">
        <v>41</v>
      </c>
      <c r="B38" s="170"/>
      <c r="C38" s="24" t="s">
        <v>6</v>
      </c>
      <c r="D38" s="24" t="s">
        <v>7</v>
      </c>
      <c r="E38" s="24" t="s">
        <v>18</v>
      </c>
      <c r="F38" s="164" t="s">
        <v>40</v>
      </c>
      <c r="G38" s="164"/>
      <c r="H38" s="164"/>
      <c r="I38" s="164"/>
      <c r="J38" s="164"/>
      <c r="K38" s="164"/>
      <c r="L38" s="164"/>
    </row>
    <row r="39" spans="1:12" ht="25" customHeight="1" x14ac:dyDescent="0.35">
      <c r="A39" s="148" t="s">
        <v>42</v>
      </c>
      <c r="B39" s="149"/>
      <c r="C39" s="11">
        <f>ROUND(1/12*5%,5)</f>
        <v>4.1700000000000001E-3</v>
      </c>
      <c r="D39" s="55">
        <f>ROUND($D$13*C39,2)</f>
        <v>5.62</v>
      </c>
      <c r="E39" s="19" t="s">
        <v>46</v>
      </c>
      <c r="F39" s="150" t="s">
        <v>221</v>
      </c>
      <c r="G39" s="150"/>
      <c r="H39" s="150"/>
      <c r="I39" s="150"/>
      <c r="J39" s="150"/>
      <c r="K39" s="150"/>
      <c r="L39" s="150"/>
    </row>
    <row r="40" spans="1:12" ht="28" customHeight="1" x14ac:dyDescent="0.35">
      <c r="A40" s="146" t="s">
        <v>43</v>
      </c>
      <c r="B40" s="147"/>
      <c r="C40" s="50">
        <f>ROUND(1/12*3.4275%,5)</f>
        <v>2.8600000000000001E-3</v>
      </c>
      <c r="D40" s="41">
        <f>ROUND($D$13*C40,2)</f>
        <v>3.86</v>
      </c>
      <c r="E40" s="49" t="s">
        <v>220</v>
      </c>
      <c r="F40" s="150"/>
      <c r="G40" s="150"/>
      <c r="H40" s="150"/>
      <c r="I40" s="150"/>
      <c r="J40" s="150"/>
      <c r="K40" s="150"/>
      <c r="L40" s="150"/>
    </row>
    <row r="41" spans="1:12" ht="28" customHeight="1" x14ac:dyDescent="0.35">
      <c r="A41" s="148" t="s">
        <v>44</v>
      </c>
      <c r="B41" s="149"/>
      <c r="C41" s="14">
        <f>ROUND(40%*8%,5)</f>
        <v>3.2000000000000001E-2</v>
      </c>
      <c r="D41" s="55">
        <f>ROUND($D$13*C41,2)</f>
        <v>43.14</v>
      </c>
      <c r="E41" s="19" t="s">
        <v>47</v>
      </c>
      <c r="F41" s="150"/>
      <c r="G41" s="150"/>
      <c r="H41" s="150"/>
      <c r="I41" s="150"/>
      <c r="J41" s="150"/>
      <c r="K41" s="150"/>
      <c r="L41" s="150"/>
    </row>
    <row r="42" spans="1:12" ht="28" customHeight="1" x14ac:dyDescent="0.35">
      <c r="A42" s="146" t="s">
        <v>210</v>
      </c>
      <c r="B42" s="147"/>
      <c r="C42" s="50">
        <f>ROUND(1/3/12,5)</f>
        <v>2.7779999999999999E-2</v>
      </c>
      <c r="D42" s="41">
        <f>ROUND($D$13*C42,2)</f>
        <v>37.450000000000003</v>
      </c>
      <c r="E42" s="49" t="s">
        <v>222</v>
      </c>
      <c r="F42" s="150"/>
      <c r="G42" s="150"/>
      <c r="H42" s="150"/>
      <c r="I42" s="150"/>
      <c r="J42" s="150"/>
      <c r="K42" s="150"/>
      <c r="L42" s="150"/>
    </row>
    <row r="43" spans="1:12" ht="28" customHeight="1" x14ac:dyDescent="0.35">
      <c r="A43" s="148" t="s">
        <v>211</v>
      </c>
      <c r="B43" s="149"/>
      <c r="C43" s="14">
        <f>ROUND(1/3*C34,5)</f>
        <v>1.2999999999999999E-4</v>
      </c>
      <c r="D43" s="55">
        <f>ROUND($D$13*C43,2)</f>
        <v>0.18</v>
      </c>
      <c r="E43" s="19" t="s">
        <v>226</v>
      </c>
      <c r="F43" s="150"/>
      <c r="G43" s="150"/>
      <c r="H43" s="150"/>
      <c r="I43" s="150"/>
      <c r="J43" s="150"/>
      <c r="K43" s="150"/>
      <c r="L43" s="150"/>
    </row>
    <row r="44" spans="1:12" x14ac:dyDescent="0.35">
      <c r="A44" s="161" t="s">
        <v>45</v>
      </c>
      <c r="B44" s="162"/>
      <c r="C44" s="29">
        <f>ROUND(SUM(C39:C43),5)</f>
        <v>6.694E-2</v>
      </c>
      <c r="D44" s="28">
        <f>ROUND(SUM(D39:D43),2)</f>
        <v>90.25</v>
      </c>
      <c r="E44" s="2"/>
      <c r="F44" s="150"/>
      <c r="G44" s="150"/>
      <c r="H44" s="150"/>
      <c r="I44" s="150"/>
      <c r="J44" s="150"/>
      <c r="K44" s="150"/>
      <c r="L44" s="150"/>
    </row>
    <row r="45" spans="1:12" x14ac:dyDescent="0.35">
      <c r="A45" s="18"/>
      <c r="B45" s="18"/>
      <c r="C45" s="7"/>
      <c r="D45" s="6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169" t="s">
        <v>48</v>
      </c>
      <c r="B46" s="170"/>
      <c r="C46" s="24" t="s">
        <v>6</v>
      </c>
      <c r="D46" s="24" t="s">
        <v>7</v>
      </c>
      <c r="E46" s="24" t="s">
        <v>18</v>
      </c>
      <c r="F46" s="2"/>
      <c r="G46" s="2"/>
      <c r="H46" s="2"/>
      <c r="I46" s="2"/>
      <c r="J46" s="2"/>
      <c r="K46" s="2"/>
      <c r="L46" s="2"/>
    </row>
    <row r="47" spans="1:12" ht="29" customHeight="1" x14ac:dyDescent="0.35">
      <c r="A47" s="128" t="s">
        <v>49</v>
      </c>
      <c r="B47" s="130"/>
      <c r="C47" s="103">
        <f>ROUND(C25*C36,5)</f>
        <v>7.7039999999999997E-2</v>
      </c>
      <c r="D47" s="4">
        <f>ROUND($D$13*C47,2)</f>
        <v>103.85</v>
      </c>
      <c r="E47" s="92" t="s">
        <v>223</v>
      </c>
      <c r="F47" s="2"/>
      <c r="G47" s="2"/>
      <c r="H47" s="2"/>
      <c r="I47" s="2"/>
      <c r="J47" s="2"/>
      <c r="K47" s="2"/>
      <c r="L47" s="2"/>
    </row>
    <row r="48" spans="1:12" x14ac:dyDescent="0.35">
      <c r="A48" s="161" t="s">
        <v>50</v>
      </c>
      <c r="B48" s="162"/>
      <c r="C48" s="29">
        <f>ROUND(SUM(C47),5)</f>
        <v>7.7039999999999997E-2</v>
      </c>
      <c r="D48" s="28">
        <f>ROUND(SUM(D47),2)</f>
        <v>103.85</v>
      </c>
      <c r="E48" s="2"/>
      <c r="F48" s="2"/>
      <c r="G48" s="2"/>
      <c r="H48" s="2"/>
      <c r="I48" s="2"/>
      <c r="J48" s="2"/>
      <c r="K48" s="2"/>
      <c r="L48" s="2"/>
    </row>
    <row r="49" spans="1:12" x14ac:dyDescent="0.35">
      <c r="A49" s="18"/>
      <c r="B49" s="18"/>
      <c r="C49" s="7"/>
      <c r="D49" s="6"/>
      <c r="E49" s="2"/>
      <c r="F49" s="2"/>
      <c r="G49" s="2"/>
      <c r="H49" s="2"/>
      <c r="I49" s="2"/>
      <c r="J49" s="2"/>
      <c r="K49" s="2"/>
      <c r="L49" s="2"/>
    </row>
    <row r="50" spans="1:12" x14ac:dyDescent="0.35">
      <c r="A50" s="169" t="s">
        <v>51</v>
      </c>
      <c r="B50" s="170"/>
      <c r="C50" s="24" t="s">
        <v>6</v>
      </c>
      <c r="D50" s="24" t="s">
        <v>7</v>
      </c>
      <c r="E50" s="24" t="s">
        <v>18</v>
      </c>
      <c r="F50" s="164" t="s">
        <v>40</v>
      </c>
      <c r="G50" s="164"/>
      <c r="H50" s="164"/>
      <c r="I50" s="164"/>
      <c r="J50" s="164"/>
      <c r="K50" s="164"/>
      <c r="L50" s="164"/>
    </row>
    <row r="51" spans="1:12" ht="25" x14ac:dyDescent="0.35">
      <c r="A51" s="128" t="s">
        <v>52</v>
      </c>
      <c r="B51" s="130"/>
      <c r="C51" s="14">
        <f>ROUND(8%*C39,5)</f>
        <v>3.3E-4</v>
      </c>
      <c r="D51" s="4">
        <f>ROUND($D$13*C51,2)</f>
        <v>0.44</v>
      </c>
      <c r="E51" s="19" t="s">
        <v>54</v>
      </c>
      <c r="F51" s="151"/>
      <c r="G51" s="152"/>
      <c r="H51" s="152"/>
      <c r="I51" s="152"/>
      <c r="J51" s="152"/>
      <c r="K51" s="152"/>
      <c r="L51" s="153"/>
    </row>
    <row r="52" spans="1:12" ht="65.5" customHeight="1" x14ac:dyDescent="0.35">
      <c r="A52" s="146" t="s">
        <v>212</v>
      </c>
      <c r="B52" s="147"/>
      <c r="C52" s="102">
        <f>ROUND(8%*C32,5)</f>
        <v>4.0000000000000003E-5</v>
      </c>
      <c r="D52" s="41">
        <f>ROUND($D$13*C52,2)</f>
        <v>0.05</v>
      </c>
      <c r="E52" s="49" t="s">
        <v>224</v>
      </c>
      <c r="F52" s="154"/>
      <c r="G52" s="155"/>
      <c r="H52" s="155"/>
      <c r="I52" s="155"/>
      <c r="J52" s="155"/>
      <c r="K52" s="155"/>
      <c r="L52" s="156"/>
    </row>
    <row r="53" spans="1:12" ht="25" x14ac:dyDescent="0.35">
      <c r="A53" s="128" t="s">
        <v>213</v>
      </c>
      <c r="B53" s="130"/>
      <c r="C53" s="14">
        <f>ROUND(8%*C42,5)</f>
        <v>2.2200000000000002E-3</v>
      </c>
      <c r="D53" s="4">
        <f>ROUND($D$13*C53,2)</f>
        <v>2.99</v>
      </c>
      <c r="E53" s="19" t="s">
        <v>225</v>
      </c>
      <c r="F53" s="157"/>
      <c r="G53" s="158"/>
      <c r="H53" s="158"/>
      <c r="I53" s="158"/>
      <c r="J53" s="158"/>
      <c r="K53" s="158"/>
      <c r="L53" s="159"/>
    </row>
    <row r="54" spans="1:12" x14ac:dyDescent="0.35">
      <c r="A54" s="161" t="s">
        <v>53</v>
      </c>
      <c r="B54" s="162"/>
      <c r="C54" s="29">
        <f>ROUND(SUM(C51:C53),5)</f>
        <v>2.5899999999999999E-3</v>
      </c>
      <c r="D54" s="28">
        <f>ROUND(SUM(D51:D51),2)</f>
        <v>0.44</v>
      </c>
      <c r="E54" s="2"/>
      <c r="F54" s="2"/>
      <c r="G54" s="2"/>
      <c r="H54" s="2"/>
      <c r="I54" s="2"/>
      <c r="J54" s="2"/>
      <c r="K54" s="2"/>
      <c r="L54" s="2"/>
    </row>
    <row r="55" spans="1:12" x14ac:dyDescent="0.35">
      <c r="A55" s="18"/>
      <c r="B55" s="18"/>
      <c r="C55" s="7"/>
      <c r="D55" s="6"/>
      <c r="E55" s="2"/>
      <c r="F55" s="2"/>
      <c r="G55" s="2"/>
      <c r="H55" s="2"/>
      <c r="I55" s="2"/>
      <c r="J55" s="2"/>
      <c r="K55" s="2"/>
      <c r="L55" s="2"/>
    </row>
    <row r="56" spans="1:12" x14ac:dyDescent="0.35">
      <c r="A56" s="169" t="s">
        <v>55</v>
      </c>
      <c r="B56" s="170"/>
      <c r="C56" s="24" t="s">
        <v>6</v>
      </c>
      <c r="D56" s="24" t="s">
        <v>7</v>
      </c>
      <c r="E56" s="24" t="s">
        <v>18</v>
      </c>
      <c r="F56" s="2"/>
      <c r="G56" s="2"/>
      <c r="H56" s="2"/>
      <c r="I56" s="2"/>
      <c r="J56" s="2"/>
      <c r="K56" s="2"/>
      <c r="L56" s="2"/>
    </row>
    <row r="57" spans="1:12" ht="118" customHeight="1" x14ac:dyDescent="0.35">
      <c r="A57" s="128" t="s">
        <v>56</v>
      </c>
      <c r="B57" s="130"/>
      <c r="C57" s="13">
        <f>ROUND(C25*(4/12)*2/100,5)</f>
        <v>2.65E-3</v>
      </c>
      <c r="D57" s="4">
        <f>ROUND($D$13*C57,2)</f>
        <v>3.57</v>
      </c>
      <c r="E57" s="93" t="s">
        <v>227</v>
      </c>
      <c r="F57" s="2"/>
      <c r="G57" s="2"/>
      <c r="H57" s="2"/>
      <c r="I57" s="2"/>
      <c r="J57" s="2"/>
      <c r="K57" s="2"/>
      <c r="L57" s="2"/>
    </row>
    <row r="58" spans="1:12" x14ac:dyDescent="0.35">
      <c r="A58" s="161" t="s">
        <v>57</v>
      </c>
      <c r="B58" s="162"/>
      <c r="C58" s="29">
        <f>ROUND(SUM(C57),5)</f>
        <v>2.65E-3</v>
      </c>
      <c r="D58" s="28">
        <f>ROUND(SUM(D57),2)</f>
        <v>3.57</v>
      </c>
      <c r="E58" s="2"/>
      <c r="F58" s="2"/>
      <c r="G58" s="2"/>
      <c r="H58" s="2"/>
      <c r="I58" s="2"/>
      <c r="J58" s="2"/>
      <c r="K58" s="2"/>
      <c r="L58" s="2"/>
    </row>
    <row r="59" spans="1:12" x14ac:dyDescent="0.35">
      <c r="A59" s="161" t="s">
        <v>58</v>
      </c>
      <c r="B59" s="162"/>
      <c r="C59" s="29">
        <f>ROUND(C25+C36+C44+C48+C54+C58,5)</f>
        <v>0.74078999999999995</v>
      </c>
      <c r="D59" s="28">
        <f>ROUND(D25+D36+D44+D48+D54+D58,2)</f>
        <v>995.56</v>
      </c>
      <c r="E59" s="2"/>
      <c r="F59" s="2"/>
      <c r="G59" s="2"/>
      <c r="H59" s="2"/>
      <c r="I59" s="2"/>
      <c r="J59" s="2"/>
      <c r="K59" s="2"/>
      <c r="L59" s="2"/>
    </row>
    <row r="60" spans="1:12" ht="15" customHeight="1" x14ac:dyDescent="0.35">
      <c r="A60" s="18"/>
      <c r="B60" s="18"/>
      <c r="C60" s="7"/>
      <c r="D60" s="6"/>
      <c r="E60" s="2"/>
      <c r="F60" s="2"/>
      <c r="G60" s="2"/>
      <c r="H60" s="2"/>
      <c r="I60" s="2"/>
      <c r="J60" s="2"/>
      <c r="K60" s="2"/>
      <c r="L60" s="2"/>
    </row>
    <row r="61" spans="1:12" ht="15" customHeight="1" x14ac:dyDescent="0.35">
      <c r="A61" s="161" t="s">
        <v>59</v>
      </c>
      <c r="B61" s="163"/>
      <c r="C61" s="162"/>
      <c r="D61" s="28">
        <f>D13+D59</f>
        <v>2343.56</v>
      </c>
      <c r="E61" s="2"/>
      <c r="F61" s="2"/>
      <c r="G61" s="2"/>
      <c r="H61" s="2"/>
      <c r="I61" s="2"/>
      <c r="J61" s="2"/>
      <c r="K61" s="2"/>
      <c r="L61" s="2"/>
    </row>
    <row r="62" spans="1:12" ht="1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" customHeight="1" x14ac:dyDescent="0.35">
      <c r="A63" s="164" t="s">
        <v>87</v>
      </c>
      <c r="B63" s="164"/>
      <c r="C63" s="164"/>
      <c r="D63" s="164"/>
      <c r="E63" s="164" t="s">
        <v>18</v>
      </c>
      <c r="F63" s="164" t="s">
        <v>40</v>
      </c>
      <c r="G63" s="164"/>
      <c r="H63" s="164"/>
      <c r="I63" s="164"/>
      <c r="J63" s="164"/>
      <c r="K63" s="164"/>
      <c r="L63" s="164"/>
    </row>
    <row r="64" spans="1:12" x14ac:dyDescent="0.35">
      <c r="A64" s="164" t="s">
        <v>60</v>
      </c>
      <c r="B64" s="164"/>
      <c r="C64" s="24" t="s">
        <v>158</v>
      </c>
      <c r="D64" s="25" t="s">
        <v>7</v>
      </c>
      <c r="E64" s="164"/>
      <c r="F64" s="164"/>
      <c r="G64" s="164"/>
      <c r="H64" s="164"/>
      <c r="I64" s="164"/>
      <c r="J64" s="164"/>
      <c r="K64" s="164"/>
      <c r="L64" s="164"/>
    </row>
    <row r="65" spans="1:12" ht="96" customHeight="1" x14ac:dyDescent="0.35">
      <c r="A65" s="160" t="s">
        <v>98</v>
      </c>
      <c r="B65" s="160"/>
      <c r="C65" s="33">
        <v>17</v>
      </c>
      <c r="D65" s="33">
        <f>ROUND(C65*22,2)</f>
        <v>374</v>
      </c>
      <c r="E65" s="36" t="s">
        <v>199</v>
      </c>
      <c r="F65" s="168"/>
      <c r="G65" s="168"/>
      <c r="H65" s="168"/>
      <c r="I65" s="168"/>
      <c r="J65" s="168"/>
      <c r="K65" s="168"/>
      <c r="L65" s="168"/>
    </row>
    <row r="66" spans="1:12" ht="53.5" customHeight="1" x14ac:dyDescent="0.35">
      <c r="A66" s="165" t="s">
        <v>99</v>
      </c>
      <c r="B66" s="165"/>
      <c r="C66" s="81">
        <v>0.1</v>
      </c>
      <c r="D66" s="47">
        <f>ROUND(D65*C66,2)*-1</f>
        <v>-37.4</v>
      </c>
      <c r="E66" s="48" t="s">
        <v>228</v>
      </c>
      <c r="F66" s="168"/>
      <c r="G66" s="168"/>
      <c r="H66" s="168"/>
      <c r="I66" s="168"/>
      <c r="J66" s="168"/>
      <c r="K66" s="168"/>
      <c r="L66" s="168"/>
    </row>
    <row r="67" spans="1:12" ht="29.5" customHeight="1" x14ac:dyDescent="0.35">
      <c r="A67" s="160" t="s">
        <v>94</v>
      </c>
      <c r="B67" s="160"/>
      <c r="C67" s="33">
        <v>110</v>
      </c>
      <c r="D67" s="33">
        <f>C67</f>
        <v>110</v>
      </c>
      <c r="E67" s="37" t="s">
        <v>229</v>
      </c>
      <c r="F67" s="168"/>
      <c r="G67" s="168"/>
      <c r="H67" s="168"/>
      <c r="I67" s="168"/>
      <c r="J67" s="168"/>
      <c r="K67" s="168"/>
      <c r="L67" s="168"/>
    </row>
    <row r="68" spans="1:12" ht="102.5" customHeight="1" x14ac:dyDescent="0.35">
      <c r="A68" s="166" t="s">
        <v>100</v>
      </c>
      <c r="B68" s="166"/>
      <c r="C68" s="82">
        <v>4.5</v>
      </c>
      <c r="D68" s="45">
        <f>ROUND(C68*2*26,2)</f>
        <v>234</v>
      </c>
      <c r="E68" s="44" t="s">
        <v>230</v>
      </c>
      <c r="F68" s="168"/>
      <c r="G68" s="168"/>
      <c r="H68" s="168"/>
      <c r="I68" s="168"/>
      <c r="J68" s="168"/>
      <c r="K68" s="168"/>
      <c r="L68" s="168"/>
    </row>
    <row r="69" spans="1:12" ht="62" customHeight="1" x14ac:dyDescent="0.35">
      <c r="A69" s="167" t="s">
        <v>101</v>
      </c>
      <c r="B69" s="167"/>
      <c r="C69" s="83">
        <v>0.06</v>
      </c>
      <c r="D69" s="34">
        <f>IF(D11*C69&gt;D68,"-",ROUND(D11*C69,2)*-1)</f>
        <v>-80.88</v>
      </c>
      <c r="E69" s="35" t="s">
        <v>102</v>
      </c>
      <c r="F69" s="168"/>
      <c r="G69" s="168"/>
      <c r="H69" s="168"/>
      <c r="I69" s="168"/>
      <c r="J69" s="168"/>
      <c r="K69" s="168"/>
      <c r="L69" s="168"/>
    </row>
    <row r="70" spans="1:12" ht="29.5" customHeight="1" x14ac:dyDescent="0.35">
      <c r="A70" s="166" t="s">
        <v>95</v>
      </c>
      <c r="B70" s="166"/>
      <c r="C70" s="82">
        <v>15</v>
      </c>
      <c r="D70" s="45">
        <f>C70</f>
        <v>15</v>
      </c>
      <c r="E70" s="46" t="s">
        <v>231</v>
      </c>
      <c r="F70" s="168"/>
      <c r="G70" s="168"/>
      <c r="H70" s="168"/>
      <c r="I70" s="168"/>
      <c r="J70" s="168"/>
      <c r="K70" s="168"/>
      <c r="L70" s="168"/>
    </row>
    <row r="71" spans="1:12" ht="29.5" customHeight="1" x14ac:dyDescent="0.35">
      <c r="A71" s="160" t="s">
        <v>232</v>
      </c>
      <c r="B71" s="160"/>
      <c r="C71" s="104">
        <v>15</v>
      </c>
      <c r="D71" s="33">
        <f>C71</f>
        <v>15</v>
      </c>
      <c r="E71" s="37" t="s">
        <v>233</v>
      </c>
      <c r="F71" s="168"/>
      <c r="G71" s="168"/>
      <c r="H71" s="168"/>
      <c r="I71" s="168"/>
      <c r="J71" s="168"/>
      <c r="K71" s="168"/>
      <c r="L71" s="168"/>
    </row>
    <row r="72" spans="1:12" ht="29.5" customHeight="1" x14ac:dyDescent="0.35">
      <c r="A72" s="171" t="s">
        <v>234</v>
      </c>
      <c r="B72" s="172"/>
      <c r="C72" s="82">
        <v>10</v>
      </c>
      <c r="D72" s="45">
        <f>C72</f>
        <v>10</v>
      </c>
      <c r="E72" s="46" t="s">
        <v>235</v>
      </c>
      <c r="F72" s="168"/>
      <c r="G72" s="168"/>
      <c r="H72" s="168"/>
      <c r="I72" s="168"/>
      <c r="J72" s="168"/>
      <c r="K72" s="168"/>
      <c r="L72" s="168"/>
    </row>
    <row r="73" spans="1:12" ht="25.5" customHeight="1" x14ac:dyDescent="0.35">
      <c r="A73" s="160" t="s">
        <v>61</v>
      </c>
      <c r="B73" s="160"/>
      <c r="C73" s="60" t="s">
        <v>74</v>
      </c>
      <c r="D73" s="33">
        <f>Uniforme!F8</f>
        <v>111.02</v>
      </c>
      <c r="E73" s="36" t="s">
        <v>200</v>
      </c>
      <c r="F73" s="168"/>
      <c r="G73" s="168"/>
      <c r="H73" s="168"/>
      <c r="I73" s="168"/>
      <c r="J73" s="168"/>
      <c r="K73" s="168"/>
      <c r="L73" s="168"/>
    </row>
    <row r="74" spans="1:12" ht="25.5" customHeight="1" x14ac:dyDescent="0.35">
      <c r="A74" s="166" t="s">
        <v>255</v>
      </c>
      <c r="B74" s="166"/>
      <c r="C74" s="61" t="s">
        <v>74</v>
      </c>
      <c r="D74" s="45">
        <f>EPIs!F6</f>
        <v>12.84</v>
      </c>
      <c r="E74" s="44" t="s">
        <v>323</v>
      </c>
      <c r="F74" s="168"/>
      <c r="G74" s="168"/>
      <c r="H74" s="168"/>
      <c r="I74" s="168"/>
      <c r="J74" s="168"/>
      <c r="K74" s="168"/>
      <c r="L74" s="168"/>
    </row>
    <row r="75" spans="1:12" ht="25.5" customHeight="1" x14ac:dyDescent="0.35">
      <c r="A75" s="200" t="s">
        <v>258</v>
      </c>
      <c r="B75" s="201"/>
      <c r="C75" s="60" t="s">
        <v>74</v>
      </c>
      <c r="D75" s="105">
        <f>'Manutenção Equip. 1'!F8</f>
        <v>26.58</v>
      </c>
      <c r="E75" s="36" t="s">
        <v>177</v>
      </c>
      <c r="F75" s="168"/>
      <c r="G75" s="168"/>
      <c r="H75" s="168"/>
      <c r="I75" s="168"/>
      <c r="J75" s="168"/>
      <c r="K75" s="168"/>
      <c r="L75" s="168"/>
    </row>
    <row r="76" spans="1:12" ht="15" customHeight="1" x14ac:dyDescent="0.35">
      <c r="A76" s="187" t="s">
        <v>62</v>
      </c>
      <c r="B76" s="187"/>
      <c r="C76" s="187"/>
      <c r="D76" s="28">
        <f>ROUND(SUM(D65:D75),2)</f>
        <v>790.16</v>
      </c>
      <c r="E76" s="2"/>
      <c r="F76" s="2"/>
      <c r="G76" s="2"/>
      <c r="H76" s="2"/>
      <c r="I76" s="2"/>
      <c r="J76" s="2"/>
      <c r="K76" s="2"/>
      <c r="L76" s="2"/>
    </row>
    <row r="77" spans="1:12" x14ac:dyDescent="0.35">
      <c r="A77" s="18"/>
      <c r="B77" s="18"/>
      <c r="C77" s="18"/>
      <c r="D77" s="6"/>
      <c r="E77" s="2"/>
      <c r="F77" s="2"/>
      <c r="G77" s="2"/>
      <c r="H77" s="2"/>
      <c r="I77" s="2"/>
      <c r="J77" s="2"/>
      <c r="K77" s="2"/>
      <c r="L77" s="2"/>
    </row>
    <row r="78" spans="1:12" ht="30" customHeight="1" x14ac:dyDescent="0.35">
      <c r="A78" s="161" t="s">
        <v>63</v>
      </c>
      <c r="B78" s="163"/>
      <c r="C78" s="162"/>
      <c r="D78" s="28">
        <f>ROUND(D61+D76,2)</f>
        <v>3133.72</v>
      </c>
      <c r="E78" s="2"/>
      <c r="F78" s="2"/>
      <c r="G78" s="2"/>
      <c r="H78" s="2"/>
      <c r="I78" s="2"/>
      <c r="J78" s="2"/>
      <c r="K78" s="2"/>
      <c r="L78" s="2"/>
    </row>
    <row r="79" spans="1:12" x14ac:dyDescent="0.35">
      <c r="A79" s="18"/>
      <c r="B79" s="18"/>
      <c r="C79" s="18"/>
      <c r="D79" s="6"/>
      <c r="E79" s="2"/>
      <c r="F79" s="2"/>
      <c r="G79" s="2"/>
      <c r="H79" s="2"/>
      <c r="I79" s="2"/>
      <c r="J79" s="2"/>
      <c r="K79" s="2"/>
      <c r="L79" s="2"/>
    </row>
    <row r="80" spans="1:12" x14ac:dyDescent="0.35">
      <c r="A80" s="164" t="s">
        <v>96</v>
      </c>
      <c r="B80" s="164"/>
      <c r="C80" s="164"/>
      <c r="D80" s="164"/>
      <c r="E80" s="164" t="s">
        <v>18</v>
      </c>
      <c r="F80" s="164" t="s">
        <v>40</v>
      </c>
      <c r="G80" s="164"/>
      <c r="H80" s="164"/>
      <c r="I80" s="164"/>
      <c r="J80" s="164"/>
      <c r="K80" s="164"/>
      <c r="L80" s="164"/>
    </row>
    <row r="81" spans="1:12" x14ac:dyDescent="0.35">
      <c r="A81" s="169" t="s">
        <v>64</v>
      </c>
      <c r="B81" s="170"/>
      <c r="C81" s="24" t="s">
        <v>6</v>
      </c>
      <c r="D81" s="24" t="s">
        <v>7</v>
      </c>
      <c r="E81" s="164"/>
      <c r="F81" s="164"/>
      <c r="G81" s="164"/>
      <c r="H81" s="164"/>
      <c r="I81" s="164"/>
      <c r="J81" s="164"/>
      <c r="K81" s="164"/>
      <c r="L81" s="164"/>
    </row>
    <row r="82" spans="1:12" s="1" customFormat="1" ht="30" customHeight="1" x14ac:dyDescent="0.3">
      <c r="A82" s="128" t="s">
        <v>65</v>
      </c>
      <c r="B82" s="130"/>
      <c r="C82" s="12">
        <v>0.05</v>
      </c>
      <c r="D82" s="17">
        <f>ROUND(D78*C82,2)</f>
        <v>156.69</v>
      </c>
      <c r="E82" s="174" t="s">
        <v>88</v>
      </c>
      <c r="F82" s="150" t="s">
        <v>175</v>
      </c>
      <c r="G82" s="150"/>
      <c r="H82" s="150"/>
      <c r="I82" s="150"/>
      <c r="J82" s="150"/>
      <c r="K82" s="150"/>
      <c r="L82" s="150"/>
    </row>
    <row r="83" spans="1:12" s="1" customFormat="1" ht="30" customHeight="1" x14ac:dyDescent="0.3">
      <c r="A83" s="146" t="s">
        <v>9</v>
      </c>
      <c r="B83" s="147"/>
      <c r="C83" s="40">
        <v>0.1</v>
      </c>
      <c r="D83" s="43">
        <f>ROUND(D78*C83,2)</f>
        <v>313.37</v>
      </c>
      <c r="E83" s="175"/>
      <c r="F83" s="150"/>
      <c r="G83" s="150"/>
      <c r="H83" s="150"/>
      <c r="I83" s="150"/>
      <c r="J83" s="150"/>
      <c r="K83" s="150"/>
      <c r="L83" s="150"/>
    </row>
    <row r="84" spans="1:12" x14ac:dyDescent="0.35">
      <c r="A84" s="161" t="s">
        <v>66</v>
      </c>
      <c r="B84" s="162"/>
      <c r="C84" s="31">
        <f>ROUND(SUM(C82:C83),5)</f>
        <v>0.15</v>
      </c>
      <c r="D84" s="28">
        <f>SUM(D82:D83)</f>
        <v>470.06</v>
      </c>
      <c r="E84" s="2"/>
      <c r="F84" s="2"/>
      <c r="G84" s="2"/>
      <c r="H84" s="2"/>
      <c r="I84" s="2"/>
      <c r="J84" s="2"/>
      <c r="K84" s="2"/>
      <c r="L84" s="2"/>
    </row>
    <row r="85" spans="1:12" x14ac:dyDescent="0.35">
      <c r="A85" s="18"/>
      <c r="B85" s="18"/>
      <c r="C85" s="5"/>
      <c r="D85" s="6"/>
      <c r="E85" s="2"/>
      <c r="F85" s="2"/>
      <c r="G85" s="2"/>
      <c r="H85" s="2"/>
      <c r="I85" s="2"/>
      <c r="J85" s="2"/>
      <c r="K85" s="2"/>
      <c r="L85" s="2"/>
    </row>
    <row r="86" spans="1:12" ht="30" customHeight="1" x14ac:dyDescent="0.35">
      <c r="A86" s="161" t="s">
        <v>89</v>
      </c>
      <c r="B86" s="163"/>
      <c r="C86" s="162"/>
      <c r="D86" s="28">
        <f>ROUND(D78+D84,2)</f>
        <v>3603.78</v>
      </c>
      <c r="E86" s="2"/>
      <c r="F86" s="2"/>
      <c r="G86" s="2"/>
      <c r="H86" s="2"/>
      <c r="I86" s="2"/>
      <c r="J86" s="2"/>
      <c r="K86" s="2"/>
      <c r="L86" s="2"/>
    </row>
    <row r="87" spans="1:12" x14ac:dyDescent="0.35">
      <c r="A87" s="18"/>
      <c r="B87" s="18"/>
      <c r="C87" s="18"/>
      <c r="D87" s="6"/>
      <c r="E87" s="2"/>
      <c r="F87" s="2"/>
      <c r="G87" s="2"/>
      <c r="H87" s="2"/>
      <c r="I87" s="2"/>
      <c r="J87" s="2"/>
      <c r="K87" s="2"/>
      <c r="L87" s="2"/>
    </row>
    <row r="88" spans="1:12" ht="35.25" customHeight="1" x14ac:dyDescent="0.35">
      <c r="A88" s="202" t="s">
        <v>77</v>
      </c>
      <c r="B88" s="202"/>
      <c r="C88" s="29">
        <f>ROUND(1-(SUM(C91:C93)/1),5)</f>
        <v>0.91349999999999998</v>
      </c>
      <c r="D88" s="28">
        <f>ROUND(D86/C88,2)</f>
        <v>3945.02</v>
      </c>
      <c r="E88" s="30"/>
      <c r="F88" s="2"/>
      <c r="G88" s="2"/>
      <c r="H88" s="2"/>
      <c r="I88" s="2"/>
      <c r="J88" s="2"/>
      <c r="K88" s="2"/>
      <c r="L88" s="2"/>
    </row>
    <row r="89" spans="1:12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5">
      <c r="A90" s="169" t="s">
        <v>67</v>
      </c>
      <c r="B90" s="170"/>
      <c r="C90" s="24" t="s">
        <v>6</v>
      </c>
      <c r="D90" s="24" t="s">
        <v>7</v>
      </c>
      <c r="E90" s="24" t="s">
        <v>18</v>
      </c>
      <c r="F90" s="164" t="s">
        <v>40</v>
      </c>
      <c r="G90" s="164"/>
      <c r="H90" s="164"/>
      <c r="I90" s="164"/>
      <c r="J90" s="164"/>
      <c r="K90" s="164"/>
      <c r="L90" s="164"/>
    </row>
    <row r="91" spans="1:12" ht="22" customHeight="1" x14ac:dyDescent="0.35">
      <c r="A91" s="128" t="s">
        <v>68</v>
      </c>
      <c r="B91" s="130"/>
      <c r="C91" s="12">
        <v>0.05</v>
      </c>
      <c r="D91" s="4">
        <f>ROUND($D$88*C91,2)</f>
        <v>197.25</v>
      </c>
      <c r="E91" s="176" t="s">
        <v>90</v>
      </c>
      <c r="F91" s="150" t="s">
        <v>176</v>
      </c>
      <c r="G91" s="150"/>
      <c r="H91" s="150"/>
      <c r="I91" s="150"/>
      <c r="J91" s="150"/>
      <c r="K91" s="150"/>
      <c r="L91" s="150"/>
    </row>
    <row r="92" spans="1:12" ht="22" customHeight="1" x14ac:dyDescent="0.35">
      <c r="A92" s="146" t="s">
        <v>69</v>
      </c>
      <c r="B92" s="147"/>
      <c r="C92" s="40">
        <v>0.03</v>
      </c>
      <c r="D92" s="41">
        <f>ROUND($D$88*C92,2)</f>
        <v>118.35</v>
      </c>
      <c r="E92" s="176"/>
      <c r="F92" s="150"/>
      <c r="G92" s="150"/>
      <c r="H92" s="150"/>
      <c r="I92" s="150"/>
      <c r="J92" s="150"/>
      <c r="K92" s="150"/>
      <c r="L92" s="150"/>
    </row>
    <row r="93" spans="1:12" ht="22" customHeight="1" x14ac:dyDescent="0.35">
      <c r="A93" s="128" t="s">
        <v>70</v>
      </c>
      <c r="B93" s="130"/>
      <c r="C93" s="12">
        <v>6.4999999999999997E-3</v>
      </c>
      <c r="D93" s="4">
        <f>ROUND($D$88*C93,2)</f>
        <v>25.64</v>
      </c>
      <c r="E93" s="176"/>
      <c r="F93" s="150"/>
      <c r="G93" s="150"/>
      <c r="H93" s="150"/>
      <c r="I93" s="150"/>
      <c r="J93" s="150"/>
      <c r="K93" s="150"/>
      <c r="L93" s="150"/>
    </row>
    <row r="94" spans="1:12" x14ac:dyDescent="0.35">
      <c r="A94" s="161" t="s">
        <v>71</v>
      </c>
      <c r="B94" s="162"/>
      <c r="C94" s="29">
        <f>ROUND(SUM(C91:C93),5)</f>
        <v>8.6499999999999994E-2</v>
      </c>
      <c r="D94" s="28">
        <f>ROUND(SUM(D91:D93),2)</f>
        <v>341.24</v>
      </c>
      <c r="E94" s="2"/>
      <c r="F94" s="2"/>
      <c r="G94" s="2"/>
      <c r="H94" s="2"/>
      <c r="I94" s="2"/>
      <c r="J94" s="2"/>
      <c r="K94" s="2"/>
      <c r="L94" s="2"/>
    </row>
    <row r="95" spans="1:12" ht="10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5" customHeight="1" x14ac:dyDescent="0.35">
      <c r="A96" s="161" t="s">
        <v>72</v>
      </c>
      <c r="B96" s="163"/>
      <c r="C96" s="162"/>
      <c r="D96" s="28">
        <f>ROUND(D86+D94,2)</f>
        <v>3945.02</v>
      </c>
      <c r="E96" s="2"/>
      <c r="F96" s="2"/>
      <c r="G96" s="2"/>
      <c r="H96" s="2"/>
      <c r="I96" s="2"/>
      <c r="J96" s="2"/>
      <c r="K96" s="2"/>
      <c r="L96" s="2"/>
    </row>
    <row r="97" spans="1:12" ht="25" customHeight="1" x14ac:dyDescent="0.35">
      <c r="A97" s="161" t="s">
        <v>78</v>
      </c>
      <c r="B97" s="163"/>
      <c r="C97" s="162"/>
      <c r="D97" s="28">
        <f>ROUND(D96*12,2)</f>
        <v>47340.24</v>
      </c>
      <c r="E97" s="2"/>
      <c r="F97" s="2"/>
      <c r="G97" s="2"/>
      <c r="H97" s="2"/>
      <c r="I97" s="2"/>
      <c r="J97" s="2"/>
      <c r="K97" s="2"/>
      <c r="L97" s="2"/>
    </row>
    <row r="98" spans="1:12" ht="10" customHeight="1" x14ac:dyDescent="0.35">
      <c r="A98" s="18"/>
      <c r="B98" s="18"/>
      <c r="C98" s="18"/>
      <c r="D98" s="6"/>
      <c r="E98" s="2"/>
      <c r="F98" s="2"/>
      <c r="G98" s="2"/>
      <c r="H98" s="2"/>
      <c r="I98" s="2"/>
      <c r="J98" s="2"/>
      <c r="K98" s="2"/>
      <c r="L98" s="2"/>
    </row>
    <row r="99" spans="1:12" ht="15" customHeight="1" x14ac:dyDescent="0.35">
      <c r="A99" s="164" t="s">
        <v>73</v>
      </c>
      <c r="B99" s="164"/>
      <c r="C99" s="164"/>
      <c r="D99" s="26" t="s">
        <v>6</v>
      </c>
      <c r="E99" s="2"/>
      <c r="F99" s="2"/>
      <c r="G99" s="2"/>
      <c r="H99" s="2"/>
      <c r="I99" s="2"/>
      <c r="J99" s="2"/>
      <c r="K99" s="2"/>
      <c r="L99" s="2"/>
    </row>
    <row r="100" spans="1:12" ht="15" customHeight="1" x14ac:dyDescent="0.35">
      <c r="A100" s="150" t="s">
        <v>91</v>
      </c>
      <c r="B100" s="150"/>
      <c r="C100" s="150"/>
      <c r="D100" s="16">
        <f>C25</f>
        <v>0.39800000000000002</v>
      </c>
      <c r="E100" s="2"/>
      <c r="F100" s="2"/>
      <c r="G100" s="2"/>
      <c r="H100" s="2"/>
      <c r="I100" s="2"/>
      <c r="J100" s="2"/>
      <c r="K100" s="2"/>
      <c r="L100" s="2"/>
    </row>
    <row r="101" spans="1:12" ht="15" customHeight="1" x14ac:dyDescent="0.35">
      <c r="A101" s="173" t="s">
        <v>38</v>
      </c>
      <c r="B101" s="173"/>
      <c r="C101" s="173"/>
      <c r="D101" s="42">
        <f>C36</f>
        <v>0.19356999999999999</v>
      </c>
      <c r="E101" s="2"/>
      <c r="F101" s="2"/>
      <c r="G101" s="2"/>
      <c r="H101" s="2"/>
      <c r="I101" s="2"/>
      <c r="J101" s="2"/>
      <c r="K101" s="2"/>
      <c r="L101" s="2"/>
    </row>
    <row r="102" spans="1:12" ht="15" customHeight="1" x14ac:dyDescent="0.35">
      <c r="A102" s="150" t="s">
        <v>45</v>
      </c>
      <c r="B102" s="150"/>
      <c r="C102" s="150"/>
      <c r="D102" s="16">
        <f>C44</f>
        <v>6.694E-2</v>
      </c>
      <c r="E102" s="2"/>
      <c r="F102" s="2"/>
      <c r="G102" s="2"/>
      <c r="H102" s="2"/>
      <c r="I102" s="2"/>
      <c r="J102" s="2"/>
      <c r="K102" s="2"/>
      <c r="L102" s="2"/>
    </row>
    <row r="103" spans="1:12" ht="15" customHeight="1" x14ac:dyDescent="0.35">
      <c r="A103" s="173" t="s">
        <v>50</v>
      </c>
      <c r="B103" s="173"/>
      <c r="C103" s="173"/>
      <c r="D103" s="42">
        <f>C48</f>
        <v>7.7039999999999997E-2</v>
      </c>
      <c r="E103" s="2"/>
      <c r="F103" s="2"/>
      <c r="G103" s="2"/>
      <c r="H103" s="2"/>
      <c r="I103" s="2"/>
      <c r="J103" s="2"/>
      <c r="K103" s="2"/>
      <c r="L103" s="2"/>
    </row>
    <row r="104" spans="1:12" ht="15" customHeight="1" x14ac:dyDescent="0.35">
      <c r="A104" s="150" t="s">
        <v>53</v>
      </c>
      <c r="B104" s="150"/>
      <c r="C104" s="150"/>
      <c r="D104" s="16">
        <f>C54</f>
        <v>2.5899999999999999E-3</v>
      </c>
      <c r="E104" s="2"/>
      <c r="F104" s="2"/>
      <c r="G104" s="2"/>
      <c r="H104" s="2"/>
      <c r="I104" s="2"/>
      <c r="J104" s="2"/>
      <c r="K104" s="2"/>
      <c r="L104" s="2"/>
    </row>
    <row r="105" spans="1:12" ht="15" customHeight="1" x14ac:dyDescent="0.35">
      <c r="A105" s="173" t="s">
        <v>57</v>
      </c>
      <c r="B105" s="173"/>
      <c r="C105" s="173"/>
      <c r="D105" s="42">
        <f>C58</f>
        <v>2.65E-3</v>
      </c>
      <c r="E105" s="2"/>
      <c r="F105" s="2"/>
      <c r="G105" s="2"/>
      <c r="H105" s="2"/>
      <c r="I105" s="2"/>
      <c r="J105" s="2"/>
      <c r="K105" s="2"/>
      <c r="L105" s="2"/>
    </row>
    <row r="106" spans="1:12" ht="15" customHeight="1" x14ac:dyDescent="0.35">
      <c r="A106" s="203" t="s">
        <v>92</v>
      </c>
      <c r="B106" s="203"/>
      <c r="C106" s="203"/>
      <c r="D106" s="27">
        <f>ROUND(SUM(D100:D105),5)</f>
        <v>0.74078999999999995</v>
      </c>
      <c r="E106" s="2"/>
      <c r="F106" s="2"/>
      <c r="G106" s="2"/>
      <c r="H106" s="2"/>
      <c r="I106" s="2"/>
      <c r="J106" s="2"/>
      <c r="K106" s="2"/>
      <c r="L106" s="2"/>
    </row>
    <row r="107" spans="1:12" ht="10" customHeight="1" x14ac:dyDescent="0.35"/>
    <row r="108" spans="1:12" x14ac:dyDescent="0.35">
      <c r="A108" s="169" t="s">
        <v>178</v>
      </c>
      <c r="B108" s="170"/>
      <c r="C108" s="24" t="s">
        <v>179</v>
      </c>
      <c r="D108" s="26" t="s">
        <v>6</v>
      </c>
    </row>
    <row r="109" spans="1:12" x14ac:dyDescent="0.35">
      <c r="A109" s="177" t="s">
        <v>180</v>
      </c>
      <c r="B109" s="178"/>
      <c r="C109" s="94">
        <f>D13</f>
        <v>1348</v>
      </c>
      <c r="D109" s="16">
        <f>ROUND(C109/$C$113,5)</f>
        <v>0.3417</v>
      </c>
    </row>
    <row r="110" spans="1:12" ht="24.5" customHeight="1" x14ac:dyDescent="0.35">
      <c r="A110" s="196" t="s">
        <v>181</v>
      </c>
      <c r="B110" s="197"/>
      <c r="C110" s="95">
        <f>D59</f>
        <v>995.56</v>
      </c>
      <c r="D110" s="42">
        <f>ROUND(C110/$C$113,5)</f>
        <v>0.25235999999999997</v>
      </c>
    </row>
    <row r="111" spans="1:12" x14ac:dyDescent="0.35">
      <c r="A111" s="177" t="s">
        <v>182</v>
      </c>
      <c r="B111" s="178"/>
      <c r="C111" s="94">
        <f>D76</f>
        <v>790.16</v>
      </c>
      <c r="D111" s="16">
        <f>ROUND(C111/$C$113,5)</f>
        <v>0.20029</v>
      </c>
    </row>
    <row r="112" spans="1:12" x14ac:dyDescent="0.35">
      <c r="A112" s="196" t="s">
        <v>183</v>
      </c>
      <c r="B112" s="197"/>
      <c r="C112" s="95">
        <f>ROUND(D84+D94,2)</f>
        <v>811.3</v>
      </c>
      <c r="D112" s="42">
        <f>ROUND(C112/$C$113,5)</f>
        <v>0.20565</v>
      </c>
    </row>
    <row r="113" spans="1:4" x14ac:dyDescent="0.35">
      <c r="A113" s="198" t="s">
        <v>184</v>
      </c>
      <c r="B113" s="199"/>
      <c r="C113" s="96">
        <f>ROUND(SUM(C109:C112),2)</f>
        <v>3945.02</v>
      </c>
      <c r="D113" s="29">
        <f>ROUND(SUM(D109:D112),5)</f>
        <v>1</v>
      </c>
    </row>
  </sheetData>
  <mergeCells count="116">
    <mergeCell ref="A22:B22"/>
    <mergeCell ref="A23:B23"/>
    <mergeCell ref="A24:B24"/>
    <mergeCell ref="A108:B108"/>
    <mergeCell ref="A109:B109"/>
    <mergeCell ref="A110:B110"/>
    <mergeCell ref="A111:B111"/>
    <mergeCell ref="A112:B112"/>
    <mergeCell ref="A113:B113"/>
    <mergeCell ref="A73:B73"/>
    <mergeCell ref="A75:B75"/>
    <mergeCell ref="A76:C76"/>
    <mergeCell ref="A78:C78"/>
    <mergeCell ref="A80:D80"/>
    <mergeCell ref="A88:B88"/>
    <mergeCell ref="A90:B90"/>
    <mergeCell ref="A105:C105"/>
    <mergeCell ref="A106:C106"/>
    <mergeCell ref="A44:B44"/>
    <mergeCell ref="A46:B46"/>
    <mergeCell ref="A47:B47"/>
    <mergeCell ref="A48:B48"/>
    <mergeCell ref="A50:B50"/>
    <mergeCell ref="A56:B56"/>
    <mergeCell ref="A1:L1"/>
    <mergeCell ref="B2:D2"/>
    <mergeCell ref="B3:D3"/>
    <mergeCell ref="B4:D4"/>
    <mergeCell ref="B5:D5"/>
    <mergeCell ref="B6:D6"/>
    <mergeCell ref="A19:B19"/>
    <mergeCell ref="A20:B20"/>
    <mergeCell ref="A21:B21"/>
    <mergeCell ref="A13:C13"/>
    <mergeCell ref="A15:D15"/>
    <mergeCell ref="E15:E16"/>
    <mergeCell ref="A16:B16"/>
    <mergeCell ref="A17:B17"/>
    <mergeCell ref="A18:B18"/>
    <mergeCell ref="A8:L8"/>
    <mergeCell ref="A9:D9"/>
    <mergeCell ref="E9:E10"/>
    <mergeCell ref="F9:L10"/>
    <mergeCell ref="A10:B10"/>
    <mergeCell ref="A11:B11"/>
    <mergeCell ref="F11:L12"/>
    <mergeCell ref="A12:B12"/>
    <mergeCell ref="F38:L38"/>
    <mergeCell ref="A39:B39"/>
    <mergeCell ref="A40:B40"/>
    <mergeCell ref="A41:B41"/>
    <mergeCell ref="A25:B25"/>
    <mergeCell ref="A27:B27"/>
    <mergeCell ref="F27:L27"/>
    <mergeCell ref="A28:B28"/>
    <mergeCell ref="A29:B29"/>
    <mergeCell ref="A30:B30"/>
    <mergeCell ref="A31:B31"/>
    <mergeCell ref="A32:B32"/>
    <mergeCell ref="A33:B33"/>
    <mergeCell ref="F28:L35"/>
    <mergeCell ref="A34:B34"/>
    <mergeCell ref="A35:B35"/>
    <mergeCell ref="A36:B36"/>
    <mergeCell ref="A38:B38"/>
    <mergeCell ref="A104:C104"/>
    <mergeCell ref="A94:B94"/>
    <mergeCell ref="A96:C96"/>
    <mergeCell ref="A97:C97"/>
    <mergeCell ref="A99:C99"/>
    <mergeCell ref="A100:C100"/>
    <mergeCell ref="A101:C101"/>
    <mergeCell ref="A82:B82"/>
    <mergeCell ref="E82:E83"/>
    <mergeCell ref="A83:B83"/>
    <mergeCell ref="A84:B84"/>
    <mergeCell ref="A86:C86"/>
    <mergeCell ref="A91:B91"/>
    <mergeCell ref="E91:E93"/>
    <mergeCell ref="A92:B92"/>
    <mergeCell ref="A93:B93"/>
    <mergeCell ref="A103:C103"/>
    <mergeCell ref="A67:B67"/>
    <mergeCell ref="A68:B68"/>
    <mergeCell ref="A69:B69"/>
    <mergeCell ref="A70:B70"/>
    <mergeCell ref="F65:L75"/>
    <mergeCell ref="E80:E81"/>
    <mergeCell ref="F80:L81"/>
    <mergeCell ref="A81:B81"/>
    <mergeCell ref="A72:B72"/>
    <mergeCell ref="A74:B74"/>
    <mergeCell ref="A42:B42"/>
    <mergeCell ref="A43:B43"/>
    <mergeCell ref="F39:L44"/>
    <mergeCell ref="A52:B52"/>
    <mergeCell ref="A53:B53"/>
    <mergeCell ref="F51:L53"/>
    <mergeCell ref="A71:B71"/>
    <mergeCell ref="A102:C102"/>
    <mergeCell ref="A57:B57"/>
    <mergeCell ref="A58:B58"/>
    <mergeCell ref="A59:B59"/>
    <mergeCell ref="A61:C61"/>
    <mergeCell ref="A63:D63"/>
    <mergeCell ref="F50:L50"/>
    <mergeCell ref="A51:B51"/>
    <mergeCell ref="A54:B54"/>
    <mergeCell ref="E63:E64"/>
    <mergeCell ref="F63:L64"/>
    <mergeCell ref="A64:B64"/>
    <mergeCell ref="F82:L83"/>
    <mergeCell ref="F90:L90"/>
    <mergeCell ref="F91:L93"/>
    <mergeCell ref="A65:B65"/>
    <mergeCell ref="A66:B66"/>
  </mergeCells>
  <printOptions horizontalCentered="1"/>
  <pageMargins left="0.23622047244094491" right="0.23622047244094491" top="0.94488188976377963" bottom="0.74803149606299213" header="0.51181102362204722" footer="0.31496062992125984"/>
  <pageSetup scale="54" fitToHeight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C16AF-4A4D-47D5-A862-0053F3FE8FB7}">
  <sheetPr>
    <pageSetUpPr fitToPage="1"/>
  </sheetPr>
  <dimension ref="A1:L113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  <col min="5" max="5" width="55.6328125" customWidth="1"/>
  </cols>
  <sheetData>
    <row r="1" spans="1:12" x14ac:dyDescent="0.35">
      <c r="A1" s="179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30.5" customHeight="1" x14ac:dyDescent="0.35">
      <c r="A2" s="22" t="s">
        <v>2</v>
      </c>
      <c r="B2" s="180" t="s">
        <v>204</v>
      </c>
      <c r="C2" s="181"/>
      <c r="D2" s="182"/>
      <c r="E2" s="2"/>
    </row>
    <row r="3" spans="1:12" ht="15" customHeight="1" x14ac:dyDescent="0.35">
      <c r="A3" s="22" t="s">
        <v>75</v>
      </c>
      <c r="B3" s="183" t="s">
        <v>205</v>
      </c>
      <c r="C3" s="184"/>
      <c r="D3" s="185"/>
      <c r="E3" s="2"/>
    </row>
    <row r="4" spans="1:12" ht="15" customHeight="1" x14ac:dyDescent="0.35">
      <c r="A4" s="23" t="s">
        <v>1</v>
      </c>
      <c r="B4" s="180" t="s">
        <v>198</v>
      </c>
      <c r="C4" s="181"/>
      <c r="D4" s="182"/>
      <c r="E4" s="2"/>
    </row>
    <row r="5" spans="1:12" ht="26" x14ac:dyDescent="0.35">
      <c r="A5" s="23" t="s">
        <v>3</v>
      </c>
      <c r="B5" s="186">
        <v>1</v>
      </c>
      <c r="C5" s="184"/>
      <c r="D5" s="185"/>
      <c r="E5" s="2"/>
    </row>
    <row r="6" spans="1:12" ht="39" x14ac:dyDescent="0.35">
      <c r="A6" s="23" t="s">
        <v>76</v>
      </c>
      <c r="B6" s="180" t="s">
        <v>206</v>
      </c>
      <c r="C6" s="181"/>
      <c r="D6" s="182"/>
      <c r="E6" s="2"/>
    </row>
    <row r="7" spans="1:12" ht="15" customHeight="1" x14ac:dyDescent="0.35">
      <c r="A7" s="2"/>
      <c r="B7" s="15"/>
      <c r="C7" s="2"/>
      <c r="D7" s="2"/>
      <c r="E7" s="2"/>
    </row>
    <row r="8" spans="1:12" x14ac:dyDescent="0.35">
      <c r="A8" s="190" t="s">
        <v>4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</row>
    <row r="9" spans="1:12" x14ac:dyDescent="0.35">
      <c r="A9" s="189" t="s">
        <v>85</v>
      </c>
      <c r="B9" s="191"/>
      <c r="C9" s="191"/>
      <c r="D9" s="192"/>
      <c r="E9" s="193" t="s">
        <v>18</v>
      </c>
      <c r="F9" s="164" t="s">
        <v>40</v>
      </c>
      <c r="G9" s="164"/>
      <c r="H9" s="164"/>
      <c r="I9" s="164"/>
      <c r="J9" s="164"/>
      <c r="K9" s="164"/>
      <c r="L9" s="164"/>
    </row>
    <row r="10" spans="1:12" x14ac:dyDescent="0.35">
      <c r="A10" s="194" t="s">
        <v>5</v>
      </c>
      <c r="B10" s="195"/>
      <c r="C10" s="24" t="s">
        <v>6</v>
      </c>
      <c r="D10" s="24" t="s">
        <v>7</v>
      </c>
      <c r="E10" s="164"/>
      <c r="F10" s="164"/>
      <c r="G10" s="164"/>
      <c r="H10" s="164"/>
      <c r="I10" s="164"/>
      <c r="J10" s="164"/>
      <c r="K10" s="164"/>
      <c r="L10" s="164"/>
    </row>
    <row r="11" spans="1:12" x14ac:dyDescent="0.35">
      <c r="A11" s="128" t="s">
        <v>8</v>
      </c>
      <c r="B11" s="130"/>
      <c r="C11" s="21" t="s">
        <v>74</v>
      </c>
      <c r="D11" s="3">
        <v>1633.66</v>
      </c>
      <c r="E11" s="19" t="s">
        <v>207</v>
      </c>
      <c r="F11" s="168"/>
      <c r="G11" s="168"/>
      <c r="H11" s="168"/>
      <c r="I11" s="168"/>
      <c r="J11" s="168"/>
      <c r="K11" s="168"/>
      <c r="L11" s="168"/>
    </row>
    <row r="12" spans="1:12" ht="15" customHeight="1" x14ac:dyDescent="0.35">
      <c r="A12" s="196" t="s">
        <v>80</v>
      </c>
      <c r="B12" s="197"/>
      <c r="C12" s="54"/>
      <c r="D12" s="41">
        <f>C12*D11/100</f>
        <v>0</v>
      </c>
      <c r="E12" s="49" t="s">
        <v>74</v>
      </c>
      <c r="F12" s="168"/>
      <c r="G12" s="168"/>
      <c r="H12" s="168"/>
      <c r="I12" s="168"/>
      <c r="J12" s="168"/>
      <c r="K12" s="168"/>
      <c r="L12" s="168"/>
    </row>
    <row r="13" spans="1:12" x14ac:dyDescent="0.35">
      <c r="A13" s="187" t="s">
        <v>29</v>
      </c>
      <c r="B13" s="187"/>
      <c r="C13" s="187"/>
      <c r="D13" s="28">
        <f>ROUND(SUM(D11:D12),2)</f>
        <v>1633.66</v>
      </c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164" t="s">
        <v>86</v>
      </c>
      <c r="B15" s="164"/>
      <c r="C15" s="164"/>
      <c r="D15" s="164"/>
      <c r="E15" s="188" t="s">
        <v>18</v>
      </c>
      <c r="F15" s="2"/>
      <c r="G15" s="2"/>
      <c r="H15" s="2"/>
      <c r="I15" s="2"/>
      <c r="J15" s="2"/>
      <c r="K15" s="2"/>
      <c r="L15" s="2"/>
    </row>
    <row r="16" spans="1:12" x14ac:dyDescent="0.35">
      <c r="A16" s="164" t="s">
        <v>19</v>
      </c>
      <c r="B16" s="164"/>
      <c r="C16" s="24" t="s">
        <v>6</v>
      </c>
      <c r="D16" s="24" t="s">
        <v>7</v>
      </c>
      <c r="E16" s="189"/>
      <c r="F16" s="2"/>
      <c r="G16" s="2"/>
      <c r="H16" s="2"/>
      <c r="I16" s="2"/>
      <c r="J16" s="2"/>
      <c r="K16" s="2"/>
      <c r="L16" s="2"/>
    </row>
    <row r="17" spans="1:12" x14ac:dyDescent="0.35">
      <c r="A17" s="128" t="s">
        <v>20</v>
      </c>
      <c r="B17" s="130"/>
      <c r="C17" s="10">
        <v>0.2</v>
      </c>
      <c r="D17" s="4">
        <f t="shared" ref="D17:D24" si="0">ROUND($D$13*C17,2)</f>
        <v>326.73</v>
      </c>
      <c r="E17" s="19" t="s">
        <v>10</v>
      </c>
      <c r="F17" s="2"/>
      <c r="G17" s="2"/>
      <c r="H17" s="2"/>
      <c r="I17" s="2"/>
      <c r="J17" s="2"/>
      <c r="K17" s="2"/>
      <c r="L17" s="2"/>
    </row>
    <row r="18" spans="1:12" x14ac:dyDescent="0.35">
      <c r="A18" s="146" t="s">
        <v>21</v>
      </c>
      <c r="B18" s="147"/>
      <c r="C18" s="53">
        <v>0.08</v>
      </c>
      <c r="D18" s="41">
        <f t="shared" si="0"/>
        <v>130.69</v>
      </c>
      <c r="E18" s="49" t="s">
        <v>11</v>
      </c>
      <c r="F18" s="2"/>
      <c r="G18" s="2"/>
      <c r="H18" s="2"/>
      <c r="I18" s="2"/>
      <c r="J18" s="2"/>
      <c r="K18" s="2"/>
      <c r="L18" s="2"/>
    </row>
    <row r="19" spans="1:12" x14ac:dyDescent="0.35">
      <c r="A19" s="128" t="s">
        <v>22</v>
      </c>
      <c r="B19" s="130"/>
      <c r="C19" s="10">
        <v>1.4999999999999999E-2</v>
      </c>
      <c r="D19" s="4">
        <f t="shared" si="0"/>
        <v>24.5</v>
      </c>
      <c r="E19" s="19" t="s">
        <v>12</v>
      </c>
      <c r="F19" s="2"/>
      <c r="G19" s="2"/>
      <c r="H19" s="2"/>
      <c r="I19" s="2"/>
      <c r="J19" s="2"/>
      <c r="K19" s="2"/>
      <c r="L19" s="2"/>
    </row>
    <row r="20" spans="1:12" ht="25.5" customHeight="1" x14ac:dyDescent="0.35">
      <c r="A20" s="146" t="s">
        <v>23</v>
      </c>
      <c r="B20" s="147"/>
      <c r="C20" s="53">
        <v>0.01</v>
      </c>
      <c r="D20" s="41">
        <f t="shared" si="0"/>
        <v>16.34</v>
      </c>
      <c r="E20" s="49" t="s">
        <v>13</v>
      </c>
      <c r="F20" s="2"/>
      <c r="G20" s="2"/>
      <c r="H20" s="2"/>
      <c r="I20" s="2"/>
      <c r="J20" s="2"/>
      <c r="K20" s="2"/>
      <c r="L20" s="2"/>
    </row>
    <row r="21" spans="1:12" ht="28.5" customHeight="1" x14ac:dyDescent="0.35">
      <c r="A21" s="128" t="s">
        <v>24</v>
      </c>
      <c r="B21" s="130"/>
      <c r="C21" s="10">
        <v>2E-3</v>
      </c>
      <c r="D21" s="4">
        <f t="shared" si="0"/>
        <v>3.27</v>
      </c>
      <c r="E21" s="19" t="s">
        <v>14</v>
      </c>
      <c r="F21" s="2"/>
      <c r="G21" s="2"/>
      <c r="H21" s="2"/>
      <c r="I21" s="2"/>
      <c r="J21" s="2"/>
      <c r="K21" s="2"/>
      <c r="L21" s="2"/>
    </row>
    <row r="22" spans="1:12" x14ac:dyDescent="0.35">
      <c r="A22" s="146" t="s">
        <v>25</v>
      </c>
      <c r="B22" s="147"/>
      <c r="C22" s="53">
        <v>6.0000000000000001E-3</v>
      </c>
      <c r="D22" s="41">
        <f t="shared" si="0"/>
        <v>9.8000000000000007</v>
      </c>
      <c r="E22" s="49" t="s">
        <v>15</v>
      </c>
      <c r="F22" s="2"/>
      <c r="G22" s="2"/>
      <c r="H22" s="2"/>
      <c r="I22" s="2"/>
      <c r="J22" s="2"/>
      <c r="K22" s="2"/>
      <c r="L22" s="2"/>
    </row>
    <row r="23" spans="1:12" x14ac:dyDescent="0.35">
      <c r="A23" s="177" t="s">
        <v>26</v>
      </c>
      <c r="B23" s="178"/>
      <c r="C23" s="10">
        <v>2.5000000000000001E-2</v>
      </c>
      <c r="D23" s="4">
        <f t="shared" si="0"/>
        <v>40.840000000000003</v>
      </c>
      <c r="E23" s="19" t="s">
        <v>16</v>
      </c>
      <c r="F23" s="2"/>
      <c r="G23" s="2"/>
      <c r="H23" s="2"/>
      <c r="I23" s="2"/>
      <c r="J23" s="2"/>
      <c r="K23" s="2"/>
      <c r="L23" s="2"/>
    </row>
    <row r="24" spans="1:12" ht="55.5" customHeight="1" x14ac:dyDescent="0.35">
      <c r="A24" s="196" t="s">
        <v>27</v>
      </c>
      <c r="B24" s="197"/>
      <c r="C24" s="80">
        <v>0.06</v>
      </c>
      <c r="D24" s="41">
        <f t="shared" si="0"/>
        <v>98.02</v>
      </c>
      <c r="E24" s="92" t="s">
        <v>208</v>
      </c>
      <c r="F24" s="2"/>
      <c r="G24" s="2"/>
      <c r="H24" s="2"/>
      <c r="I24" s="2"/>
      <c r="J24" s="2"/>
      <c r="K24" s="2"/>
      <c r="L24" s="2"/>
    </row>
    <row r="25" spans="1:12" x14ac:dyDescent="0.35">
      <c r="A25" s="161" t="s">
        <v>28</v>
      </c>
      <c r="B25" s="162"/>
      <c r="C25" s="29">
        <f>ROUND(SUM(C17:C24),5)</f>
        <v>0.39800000000000002</v>
      </c>
      <c r="D25" s="28">
        <f>ROUND(SUM(D17:D24),2)</f>
        <v>650.19000000000005</v>
      </c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18"/>
      <c r="B26" s="18"/>
      <c r="C26" s="5"/>
      <c r="D26" s="6"/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164" t="s">
        <v>30</v>
      </c>
      <c r="B27" s="164"/>
      <c r="C27" s="24" t="s">
        <v>6</v>
      </c>
      <c r="D27" s="24" t="s">
        <v>7</v>
      </c>
      <c r="E27" s="24" t="s">
        <v>18</v>
      </c>
      <c r="F27" s="164" t="s">
        <v>40</v>
      </c>
      <c r="G27" s="164"/>
      <c r="H27" s="164"/>
      <c r="I27" s="164"/>
      <c r="J27" s="164"/>
      <c r="K27" s="164"/>
      <c r="L27" s="164"/>
    </row>
    <row r="28" spans="1:12" ht="28" customHeight="1" x14ac:dyDescent="0.35">
      <c r="A28" s="177" t="s">
        <v>31</v>
      </c>
      <c r="B28" s="178"/>
      <c r="C28" s="8">
        <f>ROUND(1/12,5)</f>
        <v>8.3330000000000001E-2</v>
      </c>
      <c r="D28" s="4">
        <f t="shared" ref="D28:D35" si="1">ROUND($D$13*C28,2)</f>
        <v>136.13</v>
      </c>
      <c r="E28" s="19" t="s">
        <v>17</v>
      </c>
      <c r="F28" s="150" t="s">
        <v>219</v>
      </c>
      <c r="G28" s="150"/>
      <c r="H28" s="150"/>
      <c r="I28" s="150"/>
      <c r="J28" s="150"/>
      <c r="K28" s="150"/>
      <c r="L28" s="150"/>
    </row>
    <row r="29" spans="1:12" ht="28" customHeight="1" x14ac:dyDescent="0.35">
      <c r="A29" s="146" t="s">
        <v>209</v>
      </c>
      <c r="B29" s="147"/>
      <c r="C29" s="51">
        <f>ROUND(1/12,5)</f>
        <v>8.3330000000000001E-2</v>
      </c>
      <c r="D29" s="41">
        <f t="shared" si="1"/>
        <v>136.13</v>
      </c>
      <c r="E29" s="52" t="s">
        <v>17</v>
      </c>
      <c r="F29" s="150"/>
      <c r="G29" s="150"/>
      <c r="H29" s="150"/>
      <c r="I29" s="150"/>
      <c r="J29" s="150"/>
      <c r="K29" s="150"/>
      <c r="L29" s="150"/>
    </row>
    <row r="30" spans="1:12" ht="37.5" customHeight="1" x14ac:dyDescent="0.35">
      <c r="A30" s="128" t="s">
        <v>32</v>
      </c>
      <c r="B30" s="130"/>
      <c r="C30" s="9">
        <f>ROUND((((100% / 30) * 7) / 12),5)</f>
        <v>1.9439999999999999E-2</v>
      </c>
      <c r="D30" s="4">
        <f t="shared" si="1"/>
        <v>31.76</v>
      </c>
      <c r="E30" s="39" t="s">
        <v>39</v>
      </c>
      <c r="F30" s="150"/>
      <c r="G30" s="150"/>
      <c r="H30" s="150"/>
      <c r="I30" s="150"/>
      <c r="J30" s="150"/>
      <c r="K30" s="150"/>
      <c r="L30" s="150"/>
    </row>
    <row r="31" spans="1:12" ht="37.5" customHeight="1" x14ac:dyDescent="0.35">
      <c r="A31" s="146" t="s">
        <v>33</v>
      </c>
      <c r="B31" s="147"/>
      <c r="C31" s="51">
        <f>ROUND((1462463/54796761)/12,5)</f>
        <v>2.2200000000000002E-3</v>
      </c>
      <c r="D31" s="41">
        <f t="shared" si="1"/>
        <v>3.63</v>
      </c>
      <c r="E31" s="52" t="s">
        <v>214</v>
      </c>
      <c r="F31" s="150"/>
      <c r="G31" s="150"/>
      <c r="H31" s="150"/>
      <c r="I31" s="150"/>
      <c r="J31" s="150"/>
      <c r="K31" s="150"/>
      <c r="L31" s="150"/>
    </row>
    <row r="32" spans="1:12" ht="37.5" customHeight="1" x14ac:dyDescent="0.35">
      <c r="A32" s="128" t="s">
        <v>34</v>
      </c>
      <c r="B32" s="130"/>
      <c r="C32" s="9">
        <f>ROUND((((100%/30)*15)/12)*(717911/58981000),5)</f>
        <v>5.1000000000000004E-4</v>
      </c>
      <c r="D32" s="4">
        <f t="shared" si="1"/>
        <v>0.83</v>
      </c>
      <c r="E32" s="39" t="s">
        <v>215</v>
      </c>
      <c r="F32" s="150"/>
      <c r="G32" s="150"/>
      <c r="H32" s="150"/>
      <c r="I32" s="150"/>
      <c r="J32" s="150"/>
      <c r="K32" s="150"/>
      <c r="L32" s="150"/>
    </row>
    <row r="33" spans="1:12" ht="28" customHeight="1" x14ac:dyDescent="0.35">
      <c r="A33" s="146" t="s">
        <v>35</v>
      </c>
      <c r="B33" s="147"/>
      <c r="C33" s="51">
        <f>ROUND(((100%/30)*1.4947)/12,5)</f>
        <v>4.15E-3</v>
      </c>
      <c r="D33" s="41">
        <f t="shared" si="1"/>
        <v>6.78</v>
      </c>
      <c r="E33" s="52" t="s">
        <v>216</v>
      </c>
      <c r="F33" s="150"/>
      <c r="G33" s="150"/>
      <c r="H33" s="150"/>
      <c r="I33" s="150"/>
      <c r="J33" s="150"/>
      <c r="K33" s="150"/>
      <c r="L33" s="150"/>
    </row>
    <row r="34" spans="1:12" ht="37.5" customHeight="1" x14ac:dyDescent="0.35">
      <c r="A34" s="128" t="s">
        <v>36</v>
      </c>
      <c r="B34" s="130"/>
      <c r="C34" s="9">
        <f>ROUND(8.333%*1.416%*4/12,5)</f>
        <v>3.8999999999999999E-4</v>
      </c>
      <c r="D34" s="4">
        <f t="shared" si="1"/>
        <v>0.64</v>
      </c>
      <c r="E34" s="39" t="s">
        <v>217</v>
      </c>
      <c r="F34" s="150"/>
      <c r="G34" s="150"/>
      <c r="H34" s="150"/>
      <c r="I34" s="150"/>
      <c r="J34" s="150"/>
      <c r="K34" s="150"/>
      <c r="L34" s="150"/>
    </row>
    <row r="35" spans="1:12" ht="37.5" customHeight="1" x14ac:dyDescent="0.35">
      <c r="A35" s="146" t="s">
        <v>37</v>
      </c>
      <c r="B35" s="147"/>
      <c r="C35" s="51">
        <f>ROUND((((100%/30)*5)/12)*1.416%,5)</f>
        <v>2.0000000000000001E-4</v>
      </c>
      <c r="D35" s="41">
        <f t="shared" si="1"/>
        <v>0.33</v>
      </c>
      <c r="E35" s="52" t="s">
        <v>218</v>
      </c>
      <c r="F35" s="150"/>
      <c r="G35" s="150"/>
      <c r="H35" s="150"/>
      <c r="I35" s="150"/>
      <c r="J35" s="150"/>
      <c r="K35" s="150"/>
      <c r="L35" s="150"/>
    </row>
    <row r="36" spans="1:12" x14ac:dyDescent="0.35">
      <c r="A36" s="161" t="s">
        <v>38</v>
      </c>
      <c r="B36" s="162"/>
      <c r="C36" s="29">
        <f>ROUND(SUM(C28:C35),5)</f>
        <v>0.19356999999999999</v>
      </c>
      <c r="D36" s="28">
        <f>ROUND(SUM(D28:D35),2)</f>
        <v>316.23</v>
      </c>
      <c r="E36" s="2"/>
      <c r="F36" s="2"/>
      <c r="G36" s="2"/>
      <c r="H36" s="2"/>
      <c r="I36" s="2"/>
      <c r="J36" s="2"/>
      <c r="K36" s="2"/>
      <c r="L36" s="2"/>
    </row>
    <row r="37" spans="1:12" x14ac:dyDescent="0.35">
      <c r="A37" s="18"/>
      <c r="B37" s="18"/>
      <c r="C37" s="7"/>
      <c r="D37" s="6"/>
      <c r="E37" s="2"/>
      <c r="F37" s="2"/>
      <c r="G37" s="2"/>
      <c r="H37" s="2"/>
      <c r="I37" s="2"/>
      <c r="J37" s="2"/>
      <c r="K37" s="2"/>
      <c r="L37" s="2"/>
    </row>
    <row r="38" spans="1:12" x14ac:dyDescent="0.35">
      <c r="A38" s="169" t="s">
        <v>41</v>
      </c>
      <c r="B38" s="170"/>
      <c r="C38" s="24" t="s">
        <v>6</v>
      </c>
      <c r="D38" s="24" t="s">
        <v>7</v>
      </c>
      <c r="E38" s="24" t="s">
        <v>18</v>
      </c>
      <c r="F38" s="164" t="s">
        <v>40</v>
      </c>
      <c r="G38" s="164"/>
      <c r="H38" s="164"/>
      <c r="I38" s="164"/>
      <c r="J38" s="164"/>
      <c r="K38" s="164"/>
      <c r="L38" s="164"/>
    </row>
    <row r="39" spans="1:12" ht="25" customHeight="1" x14ac:dyDescent="0.35">
      <c r="A39" s="148" t="s">
        <v>42</v>
      </c>
      <c r="B39" s="149"/>
      <c r="C39" s="11">
        <f>ROUND(1/12*5%,5)</f>
        <v>4.1700000000000001E-3</v>
      </c>
      <c r="D39" s="55">
        <f>ROUND($D$13*C39,2)</f>
        <v>6.81</v>
      </c>
      <c r="E39" s="19" t="s">
        <v>46</v>
      </c>
      <c r="F39" s="150" t="s">
        <v>221</v>
      </c>
      <c r="G39" s="150"/>
      <c r="H39" s="150"/>
      <c r="I39" s="150"/>
      <c r="J39" s="150"/>
      <c r="K39" s="150"/>
      <c r="L39" s="150"/>
    </row>
    <row r="40" spans="1:12" ht="28" customHeight="1" x14ac:dyDescent="0.35">
      <c r="A40" s="146" t="s">
        <v>43</v>
      </c>
      <c r="B40" s="147"/>
      <c r="C40" s="50">
        <f>ROUND(1/12*3.4275%,5)</f>
        <v>2.8600000000000001E-3</v>
      </c>
      <c r="D40" s="41">
        <f>ROUND($D$13*C40,2)</f>
        <v>4.67</v>
      </c>
      <c r="E40" s="49" t="s">
        <v>220</v>
      </c>
      <c r="F40" s="150"/>
      <c r="G40" s="150"/>
      <c r="H40" s="150"/>
      <c r="I40" s="150"/>
      <c r="J40" s="150"/>
      <c r="K40" s="150"/>
      <c r="L40" s="150"/>
    </row>
    <row r="41" spans="1:12" ht="28" customHeight="1" x14ac:dyDescent="0.35">
      <c r="A41" s="148" t="s">
        <v>44</v>
      </c>
      <c r="B41" s="149"/>
      <c r="C41" s="14">
        <f>ROUND(40%*8%,5)</f>
        <v>3.2000000000000001E-2</v>
      </c>
      <c r="D41" s="55">
        <f>ROUND($D$13*C41,2)</f>
        <v>52.28</v>
      </c>
      <c r="E41" s="19" t="s">
        <v>47</v>
      </c>
      <c r="F41" s="150"/>
      <c r="G41" s="150"/>
      <c r="H41" s="150"/>
      <c r="I41" s="150"/>
      <c r="J41" s="150"/>
      <c r="K41" s="150"/>
      <c r="L41" s="150"/>
    </row>
    <row r="42" spans="1:12" ht="28" customHeight="1" x14ac:dyDescent="0.35">
      <c r="A42" s="146" t="s">
        <v>210</v>
      </c>
      <c r="B42" s="147"/>
      <c r="C42" s="50">
        <f>ROUND(1/3/12,5)</f>
        <v>2.7779999999999999E-2</v>
      </c>
      <c r="D42" s="41">
        <f>ROUND($D$13*C42,2)</f>
        <v>45.38</v>
      </c>
      <c r="E42" s="49" t="s">
        <v>222</v>
      </c>
      <c r="F42" s="150"/>
      <c r="G42" s="150"/>
      <c r="H42" s="150"/>
      <c r="I42" s="150"/>
      <c r="J42" s="150"/>
      <c r="K42" s="150"/>
      <c r="L42" s="150"/>
    </row>
    <row r="43" spans="1:12" ht="28" customHeight="1" x14ac:dyDescent="0.35">
      <c r="A43" s="148" t="s">
        <v>211</v>
      </c>
      <c r="B43" s="149"/>
      <c r="C43" s="14">
        <f>ROUND(1/3*C34,5)</f>
        <v>1.2999999999999999E-4</v>
      </c>
      <c r="D43" s="55">
        <f>ROUND($D$13*C43,2)</f>
        <v>0.21</v>
      </c>
      <c r="E43" s="19" t="s">
        <v>226</v>
      </c>
      <c r="F43" s="150"/>
      <c r="G43" s="150"/>
      <c r="H43" s="150"/>
      <c r="I43" s="150"/>
      <c r="J43" s="150"/>
      <c r="K43" s="150"/>
      <c r="L43" s="150"/>
    </row>
    <row r="44" spans="1:12" x14ac:dyDescent="0.35">
      <c r="A44" s="161" t="s">
        <v>45</v>
      </c>
      <c r="B44" s="162"/>
      <c r="C44" s="29">
        <f>ROUND(SUM(C39:C43),5)</f>
        <v>6.694E-2</v>
      </c>
      <c r="D44" s="28">
        <f>ROUND(SUM(D39:D43),2)</f>
        <v>109.35</v>
      </c>
      <c r="E44" s="2"/>
      <c r="F44" s="150"/>
      <c r="G44" s="150"/>
      <c r="H44" s="150"/>
      <c r="I44" s="150"/>
      <c r="J44" s="150"/>
      <c r="K44" s="150"/>
      <c r="L44" s="150"/>
    </row>
    <row r="45" spans="1:12" x14ac:dyDescent="0.35">
      <c r="A45" s="18"/>
      <c r="B45" s="18"/>
      <c r="C45" s="7"/>
      <c r="D45" s="6"/>
      <c r="E45" s="2"/>
      <c r="F45" s="2"/>
      <c r="G45" s="2"/>
      <c r="H45" s="2"/>
      <c r="I45" s="2"/>
      <c r="J45" s="2"/>
      <c r="K45" s="2"/>
      <c r="L45" s="2"/>
    </row>
    <row r="46" spans="1:12" x14ac:dyDescent="0.35">
      <c r="A46" s="169" t="s">
        <v>48</v>
      </c>
      <c r="B46" s="170"/>
      <c r="C46" s="24" t="s">
        <v>6</v>
      </c>
      <c r="D46" s="24" t="s">
        <v>7</v>
      </c>
      <c r="E46" s="24" t="s">
        <v>18</v>
      </c>
      <c r="F46" s="2"/>
      <c r="G46" s="2"/>
      <c r="H46" s="2"/>
      <c r="I46" s="2"/>
      <c r="J46" s="2"/>
      <c r="K46" s="2"/>
      <c r="L46" s="2"/>
    </row>
    <row r="47" spans="1:12" ht="29" customHeight="1" x14ac:dyDescent="0.35">
      <c r="A47" s="128" t="s">
        <v>49</v>
      </c>
      <c r="B47" s="130"/>
      <c r="C47" s="103">
        <f>ROUND(C25*C36,5)</f>
        <v>7.7039999999999997E-2</v>
      </c>
      <c r="D47" s="4">
        <f>ROUND($D$13*C47,2)</f>
        <v>125.86</v>
      </c>
      <c r="E47" s="92" t="s">
        <v>223</v>
      </c>
      <c r="F47" s="2"/>
      <c r="G47" s="2"/>
      <c r="H47" s="2"/>
      <c r="I47" s="2"/>
      <c r="J47" s="2"/>
      <c r="K47" s="2"/>
      <c r="L47" s="2"/>
    </row>
    <row r="48" spans="1:12" x14ac:dyDescent="0.35">
      <c r="A48" s="161" t="s">
        <v>50</v>
      </c>
      <c r="B48" s="162"/>
      <c r="C48" s="29">
        <f>ROUND(SUM(C47),5)</f>
        <v>7.7039999999999997E-2</v>
      </c>
      <c r="D48" s="28">
        <f>ROUND(SUM(D47),2)</f>
        <v>125.86</v>
      </c>
      <c r="E48" s="2"/>
      <c r="F48" s="2"/>
      <c r="G48" s="2"/>
      <c r="H48" s="2"/>
      <c r="I48" s="2"/>
      <c r="J48" s="2"/>
      <c r="K48" s="2"/>
      <c r="L48" s="2"/>
    </row>
    <row r="49" spans="1:12" x14ac:dyDescent="0.35">
      <c r="A49" s="18"/>
      <c r="B49" s="18"/>
      <c r="C49" s="7"/>
      <c r="D49" s="6"/>
      <c r="E49" s="2"/>
      <c r="F49" s="2"/>
      <c r="G49" s="2"/>
      <c r="H49" s="2"/>
      <c r="I49" s="2"/>
      <c r="J49" s="2"/>
      <c r="K49" s="2"/>
      <c r="L49" s="2"/>
    </row>
    <row r="50" spans="1:12" x14ac:dyDescent="0.35">
      <c r="A50" s="169" t="s">
        <v>51</v>
      </c>
      <c r="B50" s="170"/>
      <c r="C50" s="24" t="s">
        <v>6</v>
      </c>
      <c r="D50" s="24" t="s">
        <v>7</v>
      </c>
      <c r="E50" s="24" t="s">
        <v>18</v>
      </c>
      <c r="F50" s="164" t="s">
        <v>40</v>
      </c>
      <c r="G50" s="164"/>
      <c r="H50" s="164"/>
      <c r="I50" s="164"/>
      <c r="J50" s="164"/>
      <c r="K50" s="164"/>
      <c r="L50" s="164"/>
    </row>
    <row r="51" spans="1:12" ht="25" x14ac:dyDescent="0.35">
      <c r="A51" s="128" t="s">
        <v>52</v>
      </c>
      <c r="B51" s="130"/>
      <c r="C51" s="14">
        <f>ROUND(8%*C39,5)</f>
        <v>3.3E-4</v>
      </c>
      <c r="D51" s="4">
        <f>ROUND($D$13*C51,2)</f>
        <v>0.54</v>
      </c>
      <c r="E51" s="19" t="s">
        <v>54</v>
      </c>
      <c r="F51" s="151"/>
      <c r="G51" s="152"/>
      <c r="H51" s="152"/>
      <c r="I51" s="152"/>
      <c r="J51" s="152"/>
      <c r="K51" s="152"/>
      <c r="L51" s="153"/>
    </row>
    <row r="52" spans="1:12" ht="65.5" customHeight="1" x14ac:dyDescent="0.35">
      <c r="A52" s="146" t="s">
        <v>212</v>
      </c>
      <c r="B52" s="147"/>
      <c r="C52" s="102">
        <f>ROUND(8%*C32,5)</f>
        <v>4.0000000000000003E-5</v>
      </c>
      <c r="D52" s="41">
        <f>ROUND($D$13*C52,2)</f>
        <v>7.0000000000000007E-2</v>
      </c>
      <c r="E52" s="49" t="s">
        <v>224</v>
      </c>
      <c r="F52" s="154"/>
      <c r="G52" s="155"/>
      <c r="H52" s="155"/>
      <c r="I52" s="155"/>
      <c r="J52" s="155"/>
      <c r="K52" s="155"/>
      <c r="L52" s="156"/>
    </row>
    <row r="53" spans="1:12" ht="25" x14ac:dyDescent="0.35">
      <c r="A53" s="128" t="s">
        <v>213</v>
      </c>
      <c r="B53" s="130"/>
      <c r="C53" s="14">
        <f>ROUND(8%*C42,5)</f>
        <v>2.2200000000000002E-3</v>
      </c>
      <c r="D53" s="4">
        <f>ROUND($D$13*C53,2)</f>
        <v>3.63</v>
      </c>
      <c r="E53" s="19" t="s">
        <v>225</v>
      </c>
      <c r="F53" s="157"/>
      <c r="G53" s="158"/>
      <c r="H53" s="158"/>
      <c r="I53" s="158"/>
      <c r="J53" s="158"/>
      <c r="K53" s="158"/>
      <c r="L53" s="159"/>
    </row>
    <row r="54" spans="1:12" x14ac:dyDescent="0.35">
      <c r="A54" s="161" t="s">
        <v>53</v>
      </c>
      <c r="B54" s="162"/>
      <c r="C54" s="29">
        <f>ROUND(SUM(C51:C53),5)</f>
        <v>2.5899999999999999E-3</v>
      </c>
      <c r="D54" s="28">
        <f>ROUND(SUM(D51:D51),2)</f>
        <v>0.54</v>
      </c>
      <c r="E54" s="2"/>
      <c r="F54" s="2"/>
      <c r="G54" s="2"/>
      <c r="H54" s="2"/>
      <c r="I54" s="2"/>
      <c r="J54" s="2"/>
      <c r="K54" s="2"/>
      <c r="L54" s="2"/>
    </row>
    <row r="55" spans="1:12" x14ac:dyDescent="0.35">
      <c r="A55" s="18"/>
      <c r="B55" s="18"/>
      <c r="C55" s="7"/>
      <c r="D55" s="6"/>
      <c r="E55" s="2"/>
      <c r="F55" s="2"/>
      <c r="G55" s="2"/>
      <c r="H55" s="2"/>
      <c r="I55" s="2"/>
      <c r="J55" s="2"/>
      <c r="K55" s="2"/>
      <c r="L55" s="2"/>
    </row>
    <row r="56" spans="1:12" x14ac:dyDescent="0.35">
      <c r="A56" s="169" t="s">
        <v>55</v>
      </c>
      <c r="B56" s="170"/>
      <c r="C56" s="24" t="s">
        <v>6</v>
      </c>
      <c r="D56" s="24" t="s">
        <v>7</v>
      </c>
      <c r="E56" s="24" t="s">
        <v>18</v>
      </c>
      <c r="F56" s="2"/>
      <c r="G56" s="2"/>
      <c r="H56" s="2"/>
      <c r="I56" s="2"/>
      <c r="J56" s="2"/>
      <c r="K56" s="2"/>
      <c r="L56" s="2"/>
    </row>
    <row r="57" spans="1:12" ht="118" customHeight="1" x14ac:dyDescent="0.35">
      <c r="A57" s="128" t="s">
        <v>56</v>
      </c>
      <c r="B57" s="130"/>
      <c r="C57" s="13">
        <f>ROUND(C25*(4/12)*2/100,5)</f>
        <v>2.65E-3</v>
      </c>
      <c r="D57" s="4">
        <f>ROUND($D$13*C57,2)</f>
        <v>4.33</v>
      </c>
      <c r="E57" s="93" t="s">
        <v>227</v>
      </c>
      <c r="F57" s="2"/>
      <c r="G57" s="2"/>
      <c r="H57" s="2"/>
      <c r="I57" s="2"/>
      <c r="J57" s="2"/>
      <c r="K57" s="2"/>
      <c r="L57" s="2"/>
    </row>
    <row r="58" spans="1:12" x14ac:dyDescent="0.35">
      <c r="A58" s="161" t="s">
        <v>57</v>
      </c>
      <c r="B58" s="162"/>
      <c r="C58" s="29">
        <f>ROUND(SUM(C57),5)</f>
        <v>2.65E-3</v>
      </c>
      <c r="D58" s="28">
        <f>ROUND(SUM(D57),2)</f>
        <v>4.33</v>
      </c>
      <c r="E58" s="2"/>
      <c r="F58" s="2"/>
      <c r="G58" s="2"/>
      <c r="H58" s="2"/>
      <c r="I58" s="2"/>
      <c r="J58" s="2"/>
      <c r="K58" s="2"/>
      <c r="L58" s="2"/>
    </row>
    <row r="59" spans="1:12" x14ac:dyDescent="0.35">
      <c r="A59" s="161" t="s">
        <v>58</v>
      </c>
      <c r="B59" s="162"/>
      <c r="C59" s="29">
        <f>ROUND(C25+C36+C44+C48+C54+C58,5)</f>
        <v>0.74078999999999995</v>
      </c>
      <c r="D59" s="28">
        <f>ROUND(D25+D36+D44+D48+D54+D58,2)</f>
        <v>1206.5</v>
      </c>
      <c r="E59" s="2"/>
      <c r="F59" s="2"/>
      <c r="G59" s="2"/>
      <c r="H59" s="2"/>
      <c r="I59" s="2"/>
      <c r="J59" s="2"/>
      <c r="K59" s="2"/>
      <c r="L59" s="2"/>
    </row>
    <row r="60" spans="1:12" ht="15" customHeight="1" x14ac:dyDescent="0.35">
      <c r="A60" s="18"/>
      <c r="B60" s="18"/>
      <c r="C60" s="7"/>
      <c r="D60" s="6"/>
      <c r="E60" s="2"/>
      <c r="F60" s="2"/>
      <c r="G60" s="2"/>
      <c r="H60" s="2"/>
      <c r="I60" s="2"/>
      <c r="J60" s="2"/>
      <c r="K60" s="2"/>
      <c r="L60" s="2"/>
    </row>
    <row r="61" spans="1:12" ht="15" customHeight="1" x14ac:dyDescent="0.35">
      <c r="A61" s="161" t="s">
        <v>59</v>
      </c>
      <c r="B61" s="163"/>
      <c r="C61" s="162"/>
      <c r="D61" s="28">
        <f>D13+D59</f>
        <v>2840.16</v>
      </c>
      <c r="E61" s="2"/>
      <c r="F61" s="2"/>
      <c r="G61" s="2"/>
      <c r="H61" s="2"/>
      <c r="I61" s="2"/>
      <c r="J61" s="2"/>
      <c r="K61" s="2"/>
      <c r="L61" s="2"/>
    </row>
    <row r="62" spans="1:12" ht="1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" customHeight="1" x14ac:dyDescent="0.35">
      <c r="A63" s="164" t="s">
        <v>87</v>
      </c>
      <c r="B63" s="164"/>
      <c r="C63" s="164"/>
      <c r="D63" s="164"/>
      <c r="E63" s="164" t="s">
        <v>18</v>
      </c>
      <c r="F63" s="164" t="s">
        <v>40</v>
      </c>
      <c r="G63" s="164"/>
      <c r="H63" s="164"/>
      <c r="I63" s="164"/>
      <c r="J63" s="164"/>
      <c r="K63" s="164"/>
      <c r="L63" s="164"/>
    </row>
    <row r="64" spans="1:12" x14ac:dyDescent="0.35">
      <c r="A64" s="164" t="s">
        <v>60</v>
      </c>
      <c r="B64" s="164"/>
      <c r="C64" s="24" t="s">
        <v>158</v>
      </c>
      <c r="D64" s="25" t="s">
        <v>7</v>
      </c>
      <c r="E64" s="164"/>
      <c r="F64" s="164"/>
      <c r="G64" s="164"/>
      <c r="H64" s="164"/>
      <c r="I64" s="164"/>
      <c r="J64" s="164"/>
      <c r="K64" s="164"/>
      <c r="L64" s="164"/>
    </row>
    <row r="65" spans="1:12" ht="96" customHeight="1" x14ac:dyDescent="0.35">
      <c r="A65" s="160" t="s">
        <v>98</v>
      </c>
      <c r="B65" s="160"/>
      <c r="C65" s="33">
        <v>17</v>
      </c>
      <c r="D65" s="33">
        <f>ROUND(C65*22,2)</f>
        <v>374</v>
      </c>
      <c r="E65" s="36" t="s">
        <v>199</v>
      </c>
      <c r="F65" s="168"/>
      <c r="G65" s="168"/>
      <c r="H65" s="168"/>
      <c r="I65" s="168"/>
      <c r="J65" s="168"/>
      <c r="K65" s="168"/>
      <c r="L65" s="168"/>
    </row>
    <row r="66" spans="1:12" ht="53.5" customHeight="1" x14ac:dyDescent="0.35">
      <c r="A66" s="165" t="s">
        <v>99</v>
      </c>
      <c r="B66" s="165"/>
      <c r="C66" s="81">
        <v>0.1</v>
      </c>
      <c r="D66" s="47">
        <f>ROUND(D65*C66,2)*-1</f>
        <v>-37.4</v>
      </c>
      <c r="E66" s="48" t="s">
        <v>228</v>
      </c>
      <c r="F66" s="168"/>
      <c r="G66" s="168"/>
      <c r="H66" s="168"/>
      <c r="I66" s="168"/>
      <c r="J66" s="168"/>
      <c r="K66" s="168"/>
      <c r="L66" s="168"/>
    </row>
    <row r="67" spans="1:12" ht="29.5" customHeight="1" x14ac:dyDescent="0.35">
      <c r="A67" s="160" t="s">
        <v>94</v>
      </c>
      <c r="B67" s="160"/>
      <c r="C67" s="33">
        <v>110</v>
      </c>
      <c r="D67" s="33">
        <f>C67</f>
        <v>110</v>
      </c>
      <c r="E67" s="37" t="s">
        <v>229</v>
      </c>
      <c r="F67" s="168"/>
      <c r="G67" s="168"/>
      <c r="H67" s="168"/>
      <c r="I67" s="168"/>
      <c r="J67" s="168"/>
      <c r="K67" s="168"/>
      <c r="L67" s="168"/>
    </row>
    <row r="68" spans="1:12" ht="102.5" customHeight="1" x14ac:dyDescent="0.35">
      <c r="A68" s="166" t="s">
        <v>100</v>
      </c>
      <c r="B68" s="166"/>
      <c r="C68" s="82">
        <v>4.5</v>
      </c>
      <c r="D68" s="45">
        <f>ROUND(C68*2*26,2)</f>
        <v>234</v>
      </c>
      <c r="E68" s="44" t="s">
        <v>230</v>
      </c>
      <c r="F68" s="168"/>
      <c r="G68" s="168"/>
      <c r="H68" s="168"/>
      <c r="I68" s="168"/>
      <c r="J68" s="168"/>
      <c r="K68" s="168"/>
      <c r="L68" s="168"/>
    </row>
    <row r="69" spans="1:12" ht="62" customHeight="1" x14ac:dyDescent="0.35">
      <c r="A69" s="167" t="s">
        <v>101</v>
      </c>
      <c r="B69" s="167"/>
      <c r="C69" s="83">
        <v>0.06</v>
      </c>
      <c r="D69" s="34">
        <f>IF(D11*C69&gt;D68,"-",ROUND(D11*C69,2)*-1)</f>
        <v>-98.02</v>
      </c>
      <c r="E69" s="35" t="s">
        <v>102</v>
      </c>
      <c r="F69" s="168"/>
      <c r="G69" s="168"/>
      <c r="H69" s="168"/>
      <c r="I69" s="168"/>
      <c r="J69" s="168"/>
      <c r="K69" s="168"/>
      <c r="L69" s="168"/>
    </row>
    <row r="70" spans="1:12" ht="29.5" customHeight="1" x14ac:dyDescent="0.35">
      <c r="A70" s="166" t="s">
        <v>95</v>
      </c>
      <c r="B70" s="166"/>
      <c r="C70" s="82">
        <v>15</v>
      </c>
      <c r="D70" s="45">
        <f>C70</f>
        <v>15</v>
      </c>
      <c r="E70" s="46" t="s">
        <v>231</v>
      </c>
      <c r="F70" s="168"/>
      <c r="G70" s="168"/>
      <c r="H70" s="168"/>
      <c r="I70" s="168"/>
      <c r="J70" s="168"/>
      <c r="K70" s="168"/>
      <c r="L70" s="168"/>
    </row>
    <row r="71" spans="1:12" ht="29.5" customHeight="1" x14ac:dyDescent="0.35">
      <c r="A71" s="160" t="s">
        <v>232</v>
      </c>
      <c r="B71" s="160"/>
      <c r="C71" s="104">
        <v>15</v>
      </c>
      <c r="D71" s="33">
        <f>C71</f>
        <v>15</v>
      </c>
      <c r="E71" s="37" t="s">
        <v>233</v>
      </c>
      <c r="F71" s="168"/>
      <c r="G71" s="168"/>
      <c r="H71" s="168"/>
      <c r="I71" s="168"/>
      <c r="J71" s="168"/>
      <c r="K71" s="168"/>
      <c r="L71" s="168"/>
    </row>
    <row r="72" spans="1:12" ht="29.5" customHeight="1" x14ac:dyDescent="0.35">
      <c r="A72" s="171" t="s">
        <v>234</v>
      </c>
      <c r="B72" s="172"/>
      <c r="C72" s="82">
        <v>10</v>
      </c>
      <c r="D72" s="45">
        <f>C72</f>
        <v>10</v>
      </c>
      <c r="E72" s="46" t="s">
        <v>235</v>
      </c>
      <c r="F72" s="168"/>
      <c r="G72" s="168"/>
      <c r="H72" s="168"/>
      <c r="I72" s="168"/>
      <c r="J72" s="168"/>
      <c r="K72" s="168"/>
      <c r="L72" s="168"/>
    </row>
    <row r="73" spans="1:12" ht="25.5" customHeight="1" x14ac:dyDescent="0.35">
      <c r="A73" s="160" t="s">
        <v>61</v>
      </c>
      <c r="B73" s="160"/>
      <c r="C73" s="60" t="s">
        <v>74</v>
      </c>
      <c r="D73" s="33">
        <f>Uniforme!F8</f>
        <v>111.02</v>
      </c>
      <c r="E73" s="36" t="s">
        <v>200</v>
      </c>
      <c r="F73" s="168"/>
      <c r="G73" s="168"/>
      <c r="H73" s="168"/>
      <c r="I73" s="168"/>
      <c r="J73" s="168"/>
      <c r="K73" s="168"/>
      <c r="L73" s="168"/>
    </row>
    <row r="74" spans="1:12" ht="25.5" customHeight="1" x14ac:dyDescent="0.35">
      <c r="A74" s="166" t="s">
        <v>255</v>
      </c>
      <c r="B74" s="166"/>
      <c r="C74" s="61" t="s">
        <v>74</v>
      </c>
      <c r="D74" s="45">
        <f>EPIs!F6</f>
        <v>12.84</v>
      </c>
      <c r="E74" s="44" t="s">
        <v>323</v>
      </c>
      <c r="F74" s="168"/>
      <c r="G74" s="168"/>
      <c r="H74" s="168"/>
      <c r="I74" s="168"/>
      <c r="J74" s="168"/>
      <c r="K74" s="168"/>
      <c r="L74" s="168"/>
    </row>
    <row r="75" spans="1:12" ht="25.5" customHeight="1" x14ac:dyDescent="0.35">
      <c r="A75" s="200" t="s">
        <v>259</v>
      </c>
      <c r="B75" s="201"/>
      <c r="C75" s="60" t="s">
        <v>74</v>
      </c>
      <c r="D75" s="105">
        <f>'Manutenção Equip. 2'!F10</f>
        <v>70.63</v>
      </c>
      <c r="E75" s="36" t="s">
        <v>177</v>
      </c>
      <c r="F75" s="168"/>
      <c r="G75" s="168"/>
      <c r="H75" s="168"/>
      <c r="I75" s="168"/>
      <c r="J75" s="168"/>
      <c r="K75" s="168"/>
      <c r="L75" s="168"/>
    </row>
    <row r="76" spans="1:12" ht="15" customHeight="1" x14ac:dyDescent="0.35">
      <c r="A76" s="187" t="s">
        <v>62</v>
      </c>
      <c r="B76" s="187"/>
      <c r="C76" s="187"/>
      <c r="D76" s="28">
        <f>ROUND(SUM(D65:D75),2)</f>
        <v>817.07</v>
      </c>
      <c r="E76" s="2"/>
      <c r="F76" s="2"/>
      <c r="G76" s="2"/>
      <c r="H76" s="2"/>
      <c r="I76" s="2"/>
      <c r="J76" s="2"/>
      <c r="K76" s="2"/>
      <c r="L76" s="2"/>
    </row>
    <row r="77" spans="1:12" x14ac:dyDescent="0.35">
      <c r="A77" s="18"/>
      <c r="B77" s="18"/>
      <c r="C77" s="18"/>
      <c r="D77" s="6"/>
      <c r="E77" s="2"/>
      <c r="F77" s="2"/>
      <c r="G77" s="2"/>
      <c r="H77" s="2"/>
      <c r="I77" s="2"/>
      <c r="J77" s="2"/>
      <c r="K77" s="2"/>
      <c r="L77" s="2"/>
    </row>
    <row r="78" spans="1:12" ht="30" customHeight="1" x14ac:dyDescent="0.35">
      <c r="A78" s="161" t="s">
        <v>63</v>
      </c>
      <c r="B78" s="163"/>
      <c r="C78" s="162"/>
      <c r="D78" s="28">
        <f>ROUND(D61+D76,2)</f>
        <v>3657.23</v>
      </c>
      <c r="E78" s="2"/>
      <c r="F78" s="2"/>
      <c r="G78" s="2"/>
      <c r="H78" s="2"/>
      <c r="I78" s="2"/>
      <c r="J78" s="2"/>
      <c r="K78" s="2"/>
      <c r="L78" s="2"/>
    </row>
    <row r="79" spans="1:12" x14ac:dyDescent="0.35">
      <c r="A79" s="18"/>
      <c r="B79" s="18"/>
      <c r="C79" s="18"/>
      <c r="D79" s="6"/>
      <c r="E79" s="2"/>
      <c r="F79" s="2"/>
      <c r="G79" s="2"/>
      <c r="H79" s="2"/>
      <c r="I79" s="2"/>
      <c r="J79" s="2"/>
      <c r="K79" s="2"/>
      <c r="L79" s="2"/>
    </row>
    <row r="80" spans="1:12" x14ac:dyDescent="0.35">
      <c r="A80" s="164" t="s">
        <v>96</v>
      </c>
      <c r="B80" s="164"/>
      <c r="C80" s="164"/>
      <c r="D80" s="164"/>
      <c r="E80" s="164" t="s">
        <v>18</v>
      </c>
      <c r="F80" s="164" t="s">
        <v>40</v>
      </c>
      <c r="G80" s="164"/>
      <c r="H80" s="164"/>
      <c r="I80" s="164"/>
      <c r="J80" s="164"/>
      <c r="K80" s="164"/>
      <c r="L80" s="164"/>
    </row>
    <row r="81" spans="1:12" x14ac:dyDescent="0.35">
      <c r="A81" s="169" t="s">
        <v>64</v>
      </c>
      <c r="B81" s="170"/>
      <c r="C81" s="24" t="s">
        <v>6</v>
      </c>
      <c r="D81" s="24" t="s">
        <v>7</v>
      </c>
      <c r="E81" s="164"/>
      <c r="F81" s="164"/>
      <c r="G81" s="164"/>
      <c r="H81" s="164"/>
      <c r="I81" s="164"/>
      <c r="J81" s="164"/>
      <c r="K81" s="164"/>
      <c r="L81" s="164"/>
    </row>
    <row r="82" spans="1:12" s="1" customFormat="1" ht="30" customHeight="1" x14ac:dyDescent="0.3">
      <c r="A82" s="128" t="s">
        <v>65</v>
      </c>
      <c r="B82" s="130"/>
      <c r="C82" s="12">
        <v>0.05</v>
      </c>
      <c r="D82" s="17">
        <f>ROUND(D78*C82,2)</f>
        <v>182.86</v>
      </c>
      <c r="E82" s="174" t="s">
        <v>88</v>
      </c>
      <c r="F82" s="150" t="s">
        <v>175</v>
      </c>
      <c r="G82" s="150"/>
      <c r="H82" s="150"/>
      <c r="I82" s="150"/>
      <c r="J82" s="150"/>
      <c r="K82" s="150"/>
      <c r="L82" s="150"/>
    </row>
    <row r="83" spans="1:12" s="1" customFormat="1" ht="30" customHeight="1" x14ac:dyDescent="0.3">
      <c r="A83" s="146" t="s">
        <v>9</v>
      </c>
      <c r="B83" s="147"/>
      <c r="C83" s="40">
        <v>0.1</v>
      </c>
      <c r="D83" s="43">
        <f>ROUND(D78*C83,2)</f>
        <v>365.72</v>
      </c>
      <c r="E83" s="175"/>
      <c r="F83" s="150"/>
      <c r="G83" s="150"/>
      <c r="H83" s="150"/>
      <c r="I83" s="150"/>
      <c r="J83" s="150"/>
      <c r="K83" s="150"/>
      <c r="L83" s="150"/>
    </row>
    <row r="84" spans="1:12" x14ac:dyDescent="0.35">
      <c r="A84" s="161" t="s">
        <v>66</v>
      </c>
      <c r="B84" s="162"/>
      <c r="C84" s="31">
        <f>ROUND(SUM(C82:C83),5)</f>
        <v>0.15</v>
      </c>
      <c r="D84" s="28">
        <f>SUM(D82:D83)</f>
        <v>548.58000000000004</v>
      </c>
      <c r="E84" s="2"/>
      <c r="F84" s="2"/>
      <c r="G84" s="2"/>
      <c r="H84" s="2"/>
      <c r="I84" s="2"/>
      <c r="J84" s="2"/>
      <c r="K84" s="2"/>
      <c r="L84" s="2"/>
    </row>
    <row r="85" spans="1:12" x14ac:dyDescent="0.35">
      <c r="A85" s="18"/>
      <c r="B85" s="18"/>
      <c r="C85" s="5"/>
      <c r="D85" s="6"/>
      <c r="E85" s="2"/>
      <c r="F85" s="2"/>
      <c r="G85" s="2"/>
      <c r="H85" s="2"/>
      <c r="I85" s="2"/>
      <c r="J85" s="2"/>
      <c r="K85" s="2"/>
      <c r="L85" s="2"/>
    </row>
    <row r="86" spans="1:12" ht="30" customHeight="1" x14ac:dyDescent="0.35">
      <c r="A86" s="161" t="s">
        <v>89</v>
      </c>
      <c r="B86" s="163"/>
      <c r="C86" s="162"/>
      <c r="D86" s="28">
        <f>ROUND(D78+D84,2)</f>
        <v>4205.8100000000004</v>
      </c>
      <c r="E86" s="2"/>
      <c r="F86" s="2"/>
      <c r="G86" s="2"/>
      <c r="H86" s="2"/>
      <c r="I86" s="2"/>
      <c r="J86" s="2"/>
      <c r="K86" s="2"/>
      <c r="L86" s="2"/>
    </row>
    <row r="87" spans="1:12" x14ac:dyDescent="0.35">
      <c r="A87" s="18"/>
      <c r="B87" s="18"/>
      <c r="C87" s="18"/>
      <c r="D87" s="6"/>
      <c r="E87" s="2"/>
      <c r="F87" s="2"/>
      <c r="G87" s="2"/>
      <c r="H87" s="2"/>
      <c r="I87" s="2"/>
      <c r="J87" s="2"/>
      <c r="K87" s="2"/>
      <c r="L87" s="2"/>
    </row>
    <row r="88" spans="1:12" ht="35.25" customHeight="1" x14ac:dyDescent="0.35">
      <c r="A88" s="202" t="s">
        <v>77</v>
      </c>
      <c r="B88" s="202"/>
      <c r="C88" s="29">
        <f>ROUND(1-(SUM(C91:C93)/1),5)</f>
        <v>0.91349999999999998</v>
      </c>
      <c r="D88" s="28">
        <f>ROUND(D86/C88,2)</f>
        <v>4604.0600000000004</v>
      </c>
      <c r="E88" s="30"/>
      <c r="F88" s="2"/>
      <c r="G88" s="2"/>
      <c r="H88" s="2"/>
      <c r="I88" s="2"/>
      <c r="J88" s="2"/>
      <c r="K88" s="2"/>
      <c r="L88" s="2"/>
    </row>
    <row r="89" spans="1:12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5">
      <c r="A90" s="169" t="s">
        <v>67</v>
      </c>
      <c r="B90" s="170"/>
      <c r="C90" s="24" t="s">
        <v>6</v>
      </c>
      <c r="D90" s="24" t="s">
        <v>7</v>
      </c>
      <c r="E90" s="24" t="s">
        <v>18</v>
      </c>
      <c r="F90" s="164" t="s">
        <v>40</v>
      </c>
      <c r="G90" s="164"/>
      <c r="H90" s="164"/>
      <c r="I90" s="164"/>
      <c r="J90" s="164"/>
      <c r="K90" s="164"/>
      <c r="L90" s="164"/>
    </row>
    <row r="91" spans="1:12" ht="22" customHeight="1" x14ac:dyDescent="0.35">
      <c r="A91" s="128" t="s">
        <v>68</v>
      </c>
      <c r="B91" s="130"/>
      <c r="C91" s="12">
        <v>0.05</v>
      </c>
      <c r="D91" s="4">
        <f>ROUND($D$88*C91,2)</f>
        <v>230.2</v>
      </c>
      <c r="E91" s="176" t="s">
        <v>90</v>
      </c>
      <c r="F91" s="150" t="s">
        <v>176</v>
      </c>
      <c r="G91" s="150"/>
      <c r="H91" s="150"/>
      <c r="I91" s="150"/>
      <c r="J91" s="150"/>
      <c r="K91" s="150"/>
      <c r="L91" s="150"/>
    </row>
    <row r="92" spans="1:12" ht="22" customHeight="1" x14ac:dyDescent="0.35">
      <c r="A92" s="146" t="s">
        <v>69</v>
      </c>
      <c r="B92" s="147"/>
      <c r="C92" s="40">
        <v>0.03</v>
      </c>
      <c r="D92" s="41">
        <f>ROUND($D$88*C92,2)</f>
        <v>138.12</v>
      </c>
      <c r="E92" s="176"/>
      <c r="F92" s="150"/>
      <c r="G92" s="150"/>
      <c r="H92" s="150"/>
      <c r="I92" s="150"/>
      <c r="J92" s="150"/>
      <c r="K92" s="150"/>
      <c r="L92" s="150"/>
    </row>
    <row r="93" spans="1:12" ht="22" customHeight="1" x14ac:dyDescent="0.35">
      <c r="A93" s="128" t="s">
        <v>70</v>
      </c>
      <c r="B93" s="130"/>
      <c r="C93" s="12">
        <v>6.4999999999999997E-3</v>
      </c>
      <c r="D93" s="4">
        <f>ROUND($D$88*C93,2)</f>
        <v>29.93</v>
      </c>
      <c r="E93" s="176"/>
      <c r="F93" s="150"/>
      <c r="G93" s="150"/>
      <c r="H93" s="150"/>
      <c r="I93" s="150"/>
      <c r="J93" s="150"/>
      <c r="K93" s="150"/>
      <c r="L93" s="150"/>
    </row>
    <row r="94" spans="1:12" x14ac:dyDescent="0.35">
      <c r="A94" s="161" t="s">
        <v>71</v>
      </c>
      <c r="B94" s="162"/>
      <c r="C94" s="29">
        <f>ROUND(SUM(C91:C93),5)</f>
        <v>8.6499999999999994E-2</v>
      </c>
      <c r="D94" s="28">
        <f>ROUND(SUM(D91:D93),2)</f>
        <v>398.25</v>
      </c>
      <c r="E94" s="2"/>
      <c r="F94" s="2"/>
      <c r="G94" s="2"/>
      <c r="H94" s="2"/>
      <c r="I94" s="2"/>
      <c r="J94" s="2"/>
      <c r="K94" s="2"/>
      <c r="L94" s="2"/>
    </row>
    <row r="95" spans="1:12" ht="10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25" customHeight="1" x14ac:dyDescent="0.35">
      <c r="A96" s="161" t="s">
        <v>72</v>
      </c>
      <c r="B96" s="163"/>
      <c r="C96" s="162"/>
      <c r="D96" s="28">
        <f>ROUND(D86+D94,2)</f>
        <v>4604.0600000000004</v>
      </c>
      <c r="E96" s="2"/>
      <c r="F96" s="2"/>
      <c r="G96" s="2"/>
      <c r="H96" s="2"/>
      <c r="I96" s="2"/>
      <c r="J96" s="2"/>
      <c r="K96" s="2"/>
      <c r="L96" s="2"/>
    </row>
    <row r="97" spans="1:12" ht="25" customHeight="1" x14ac:dyDescent="0.35">
      <c r="A97" s="161" t="s">
        <v>78</v>
      </c>
      <c r="B97" s="163"/>
      <c r="C97" s="162"/>
      <c r="D97" s="28">
        <f>ROUND(D96*12,2)</f>
        <v>55248.72</v>
      </c>
      <c r="E97" s="2"/>
      <c r="F97" s="2"/>
      <c r="G97" s="2"/>
      <c r="H97" s="2"/>
      <c r="I97" s="2"/>
      <c r="J97" s="2"/>
      <c r="K97" s="2"/>
      <c r="L97" s="2"/>
    </row>
    <row r="98" spans="1:12" ht="10" customHeight="1" x14ac:dyDescent="0.35">
      <c r="A98" s="18"/>
      <c r="B98" s="18"/>
      <c r="C98" s="18"/>
      <c r="D98" s="6"/>
      <c r="E98" s="2"/>
      <c r="F98" s="2"/>
      <c r="G98" s="2"/>
      <c r="H98" s="2"/>
      <c r="I98" s="2"/>
      <c r="J98" s="2"/>
      <c r="K98" s="2"/>
      <c r="L98" s="2"/>
    </row>
    <row r="99" spans="1:12" ht="15" customHeight="1" x14ac:dyDescent="0.35">
      <c r="A99" s="164" t="s">
        <v>73</v>
      </c>
      <c r="B99" s="164"/>
      <c r="C99" s="164"/>
      <c r="D99" s="26" t="s">
        <v>6</v>
      </c>
      <c r="E99" s="2"/>
      <c r="F99" s="2"/>
      <c r="G99" s="2"/>
      <c r="H99" s="2"/>
      <c r="I99" s="2"/>
      <c r="J99" s="2"/>
      <c r="K99" s="2"/>
      <c r="L99" s="2"/>
    </row>
    <row r="100" spans="1:12" ht="15" customHeight="1" x14ac:dyDescent="0.35">
      <c r="A100" s="150" t="s">
        <v>91</v>
      </c>
      <c r="B100" s="150"/>
      <c r="C100" s="150"/>
      <c r="D100" s="16">
        <f>C25</f>
        <v>0.39800000000000002</v>
      </c>
      <c r="E100" s="2"/>
      <c r="F100" s="2"/>
      <c r="G100" s="2"/>
      <c r="H100" s="2"/>
      <c r="I100" s="2"/>
      <c r="J100" s="2"/>
      <c r="K100" s="2"/>
      <c r="L100" s="2"/>
    </row>
    <row r="101" spans="1:12" ht="15" customHeight="1" x14ac:dyDescent="0.35">
      <c r="A101" s="173" t="s">
        <v>38</v>
      </c>
      <c r="B101" s="173"/>
      <c r="C101" s="173"/>
      <c r="D101" s="42">
        <f>C36</f>
        <v>0.19356999999999999</v>
      </c>
      <c r="E101" s="2"/>
      <c r="F101" s="2"/>
      <c r="G101" s="2"/>
      <c r="H101" s="2"/>
      <c r="I101" s="2"/>
      <c r="J101" s="2"/>
      <c r="K101" s="2"/>
      <c r="L101" s="2"/>
    </row>
    <row r="102" spans="1:12" ht="15" customHeight="1" x14ac:dyDescent="0.35">
      <c r="A102" s="150" t="s">
        <v>45</v>
      </c>
      <c r="B102" s="150"/>
      <c r="C102" s="150"/>
      <c r="D102" s="16">
        <f>C44</f>
        <v>6.694E-2</v>
      </c>
      <c r="E102" s="2"/>
      <c r="F102" s="2"/>
      <c r="G102" s="2"/>
      <c r="H102" s="2"/>
      <c r="I102" s="2"/>
      <c r="J102" s="2"/>
      <c r="K102" s="2"/>
      <c r="L102" s="2"/>
    </row>
    <row r="103" spans="1:12" ht="15" customHeight="1" x14ac:dyDescent="0.35">
      <c r="A103" s="173" t="s">
        <v>50</v>
      </c>
      <c r="B103" s="173"/>
      <c r="C103" s="173"/>
      <c r="D103" s="42">
        <f>C48</f>
        <v>7.7039999999999997E-2</v>
      </c>
      <c r="E103" s="2"/>
      <c r="F103" s="2"/>
      <c r="G103" s="2"/>
      <c r="H103" s="2"/>
      <c r="I103" s="2"/>
      <c r="J103" s="2"/>
      <c r="K103" s="2"/>
      <c r="L103" s="2"/>
    </row>
    <row r="104" spans="1:12" ht="15" customHeight="1" x14ac:dyDescent="0.35">
      <c r="A104" s="150" t="s">
        <v>53</v>
      </c>
      <c r="B104" s="150"/>
      <c r="C104" s="150"/>
      <c r="D104" s="16">
        <f>C54</f>
        <v>2.5899999999999999E-3</v>
      </c>
      <c r="E104" s="2"/>
      <c r="F104" s="2"/>
      <c r="G104" s="2"/>
      <c r="H104" s="2"/>
      <c r="I104" s="2"/>
      <c r="J104" s="2"/>
      <c r="K104" s="2"/>
      <c r="L104" s="2"/>
    </row>
    <row r="105" spans="1:12" ht="15" customHeight="1" x14ac:dyDescent="0.35">
      <c r="A105" s="173" t="s">
        <v>57</v>
      </c>
      <c r="B105" s="173"/>
      <c r="C105" s="173"/>
      <c r="D105" s="42">
        <f>C58</f>
        <v>2.65E-3</v>
      </c>
      <c r="E105" s="2"/>
      <c r="F105" s="2"/>
      <c r="G105" s="2"/>
      <c r="H105" s="2"/>
      <c r="I105" s="2"/>
      <c r="J105" s="2"/>
      <c r="K105" s="2"/>
      <c r="L105" s="2"/>
    </row>
    <row r="106" spans="1:12" ht="15" customHeight="1" x14ac:dyDescent="0.35">
      <c r="A106" s="203" t="s">
        <v>92</v>
      </c>
      <c r="B106" s="203"/>
      <c r="C106" s="203"/>
      <c r="D106" s="27">
        <f>ROUND(SUM(D100:D105),5)</f>
        <v>0.74078999999999995</v>
      </c>
      <c r="E106" s="2"/>
      <c r="F106" s="2"/>
      <c r="G106" s="2"/>
      <c r="H106" s="2"/>
      <c r="I106" s="2"/>
      <c r="J106" s="2"/>
      <c r="K106" s="2"/>
      <c r="L106" s="2"/>
    </row>
    <row r="107" spans="1:12" ht="10" customHeight="1" x14ac:dyDescent="0.35"/>
    <row r="108" spans="1:12" x14ac:dyDescent="0.35">
      <c r="A108" s="169" t="s">
        <v>178</v>
      </c>
      <c r="B108" s="170"/>
      <c r="C108" s="24" t="s">
        <v>179</v>
      </c>
      <c r="D108" s="26" t="s">
        <v>6</v>
      </c>
    </row>
    <row r="109" spans="1:12" x14ac:dyDescent="0.35">
      <c r="A109" s="177" t="s">
        <v>180</v>
      </c>
      <c r="B109" s="178"/>
      <c r="C109" s="94">
        <f>D13</f>
        <v>1633.66</v>
      </c>
      <c r="D109" s="16">
        <f>ROUND(C109/$C$113,5)</f>
        <v>0.35482999999999998</v>
      </c>
    </row>
    <row r="110" spans="1:12" ht="24.5" customHeight="1" x14ac:dyDescent="0.35">
      <c r="A110" s="196" t="s">
        <v>181</v>
      </c>
      <c r="B110" s="197"/>
      <c r="C110" s="95">
        <f>D59</f>
        <v>1206.5</v>
      </c>
      <c r="D110" s="42">
        <f>ROUND(C110/$C$113,5)</f>
        <v>0.26205000000000001</v>
      </c>
    </row>
    <row r="111" spans="1:12" x14ac:dyDescent="0.35">
      <c r="A111" s="177" t="s">
        <v>182</v>
      </c>
      <c r="B111" s="178"/>
      <c r="C111" s="94">
        <f>D76</f>
        <v>817.07</v>
      </c>
      <c r="D111" s="16">
        <f>ROUND(C111/$C$113,5)</f>
        <v>0.17746999999999999</v>
      </c>
    </row>
    <row r="112" spans="1:12" x14ac:dyDescent="0.35">
      <c r="A112" s="196" t="s">
        <v>183</v>
      </c>
      <c r="B112" s="197"/>
      <c r="C112" s="95">
        <f>ROUND(D84+D94,2)</f>
        <v>946.83</v>
      </c>
      <c r="D112" s="42">
        <f>ROUND(C112/$C$113,5)</f>
        <v>0.20565</v>
      </c>
    </row>
    <row r="113" spans="1:4" x14ac:dyDescent="0.35">
      <c r="A113" s="198" t="s">
        <v>184</v>
      </c>
      <c r="B113" s="199"/>
      <c r="C113" s="96">
        <f>ROUND(SUM(C109:C112),2)</f>
        <v>4604.0600000000004</v>
      </c>
      <c r="D113" s="29">
        <f>ROUND(SUM(D109:D112),5)</f>
        <v>1</v>
      </c>
    </row>
  </sheetData>
  <mergeCells count="116">
    <mergeCell ref="A8:L8"/>
    <mergeCell ref="A9:D9"/>
    <mergeCell ref="E9:E10"/>
    <mergeCell ref="F9:L10"/>
    <mergeCell ref="A10:B10"/>
    <mergeCell ref="A11:B11"/>
    <mergeCell ref="F11:L12"/>
    <mergeCell ref="A12:B12"/>
    <mergeCell ref="A1:L1"/>
    <mergeCell ref="B2:D2"/>
    <mergeCell ref="B3:D3"/>
    <mergeCell ref="B4:D4"/>
    <mergeCell ref="B5:D5"/>
    <mergeCell ref="B6:D6"/>
    <mergeCell ref="A19:B19"/>
    <mergeCell ref="A20:B20"/>
    <mergeCell ref="A21:B21"/>
    <mergeCell ref="A22:B22"/>
    <mergeCell ref="A23:B23"/>
    <mergeCell ref="A24:B24"/>
    <mergeCell ref="A13:C13"/>
    <mergeCell ref="A15:D15"/>
    <mergeCell ref="E15:E16"/>
    <mergeCell ref="A16:B16"/>
    <mergeCell ref="A17:B17"/>
    <mergeCell ref="A18:B18"/>
    <mergeCell ref="F38:L38"/>
    <mergeCell ref="A39:B39"/>
    <mergeCell ref="F39:L44"/>
    <mergeCell ref="A40:B40"/>
    <mergeCell ref="A41:B41"/>
    <mergeCell ref="A42:B42"/>
    <mergeCell ref="A25:B25"/>
    <mergeCell ref="A27:B27"/>
    <mergeCell ref="F27:L27"/>
    <mergeCell ref="A28:B28"/>
    <mergeCell ref="F28:L35"/>
    <mergeCell ref="A29:B29"/>
    <mergeCell ref="A30:B30"/>
    <mergeCell ref="A31:B31"/>
    <mergeCell ref="A32:B32"/>
    <mergeCell ref="A33:B33"/>
    <mergeCell ref="A43:B43"/>
    <mergeCell ref="A44:B44"/>
    <mergeCell ref="A46:B46"/>
    <mergeCell ref="A47:B47"/>
    <mergeCell ref="A48:B48"/>
    <mergeCell ref="A50:B50"/>
    <mergeCell ref="A34:B34"/>
    <mergeCell ref="A35:B35"/>
    <mergeCell ref="A36:B36"/>
    <mergeCell ref="A38:B38"/>
    <mergeCell ref="A56:B56"/>
    <mergeCell ref="A57:B57"/>
    <mergeCell ref="A58:B58"/>
    <mergeCell ref="A59:B59"/>
    <mergeCell ref="A61:C61"/>
    <mergeCell ref="A63:D63"/>
    <mergeCell ref="F50:L50"/>
    <mergeCell ref="A51:B51"/>
    <mergeCell ref="F51:L53"/>
    <mergeCell ref="A52:B52"/>
    <mergeCell ref="A53:B53"/>
    <mergeCell ref="A54:B54"/>
    <mergeCell ref="A71:B71"/>
    <mergeCell ref="A72:B72"/>
    <mergeCell ref="A73:B73"/>
    <mergeCell ref="A75:B75"/>
    <mergeCell ref="A76:C76"/>
    <mergeCell ref="A78:C78"/>
    <mergeCell ref="E63:E64"/>
    <mergeCell ref="F63:L64"/>
    <mergeCell ref="A64:B64"/>
    <mergeCell ref="A65:B65"/>
    <mergeCell ref="F65:L75"/>
    <mergeCell ref="A66:B66"/>
    <mergeCell ref="A67:B67"/>
    <mergeCell ref="A68:B68"/>
    <mergeCell ref="A69:B69"/>
    <mergeCell ref="A70:B70"/>
    <mergeCell ref="A74:B74"/>
    <mergeCell ref="F90:L90"/>
    <mergeCell ref="A91:B91"/>
    <mergeCell ref="E91:E93"/>
    <mergeCell ref="F91:L93"/>
    <mergeCell ref="A92:B92"/>
    <mergeCell ref="A93:B93"/>
    <mergeCell ref="A80:D80"/>
    <mergeCell ref="E80:E81"/>
    <mergeCell ref="F80:L81"/>
    <mergeCell ref="A81:B81"/>
    <mergeCell ref="A82:B82"/>
    <mergeCell ref="E82:E83"/>
    <mergeCell ref="F82:L83"/>
    <mergeCell ref="A83:B83"/>
    <mergeCell ref="A94:B94"/>
    <mergeCell ref="A96:C96"/>
    <mergeCell ref="A97:C97"/>
    <mergeCell ref="A99:C99"/>
    <mergeCell ref="A100:C100"/>
    <mergeCell ref="A101:C101"/>
    <mergeCell ref="A84:B84"/>
    <mergeCell ref="A86:C86"/>
    <mergeCell ref="A88:B88"/>
    <mergeCell ref="A90:B90"/>
    <mergeCell ref="A109:B109"/>
    <mergeCell ref="A110:B110"/>
    <mergeCell ref="A111:B111"/>
    <mergeCell ref="A112:B112"/>
    <mergeCell ref="A113:B113"/>
    <mergeCell ref="A102:C102"/>
    <mergeCell ref="A103:C103"/>
    <mergeCell ref="A104:C104"/>
    <mergeCell ref="A105:C105"/>
    <mergeCell ref="A106:C106"/>
    <mergeCell ref="A108:B108"/>
  </mergeCells>
  <printOptions horizontalCentered="1"/>
  <pageMargins left="0.23622047244094491" right="0.23622047244094491" top="0.94488188976377963" bottom="0.74803149606299213" header="0.51181102362204722" footer="0.31496062992125984"/>
  <pageSetup scale="54" fitToHeight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A34E-E8A9-471F-94BB-D25D30014FD0}">
  <sheetPr codeName="Planilha20">
    <pageSetUpPr fitToPage="1"/>
  </sheetPr>
  <dimension ref="A1:F12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5.81640625" customWidth="1"/>
    <col min="2" max="2" width="27.81640625" customWidth="1"/>
    <col min="3" max="3" width="9.1796875" customWidth="1"/>
    <col min="4" max="4" width="9.36328125" customWidth="1"/>
    <col min="5" max="5" width="12.81640625" customWidth="1"/>
    <col min="6" max="6" width="14.36328125" customWidth="1"/>
  </cols>
  <sheetData>
    <row r="1" spans="1:6" ht="27" customHeight="1" x14ac:dyDescent="0.35">
      <c r="A1" s="179" t="s">
        <v>201</v>
      </c>
      <c r="B1" s="179"/>
      <c r="C1" s="179"/>
      <c r="D1" s="179"/>
      <c r="E1" s="179"/>
      <c r="F1" s="179"/>
    </row>
    <row r="2" spans="1:6" ht="39.75" customHeight="1" x14ac:dyDescent="0.35">
      <c r="A2" s="24" t="s">
        <v>73</v>
      </c>
      <c r="B2" s="87" t="s">
        <v>163</v>
      </c>
      <c r="C2" s="24" t="s">
        <v>109</v>
      </c>
      <c r="D2" s="24" t="s">
        <v>162</v>
      </c>
      <c r="E2" s="24" t="s">
        <v>161</v>
      </c>
      <c r="F2" s="24" t="s">
        <v>160</v>
      </c>
    </row>
    <row r="3" spans="1:6" ht="62.5" x14ac:dyDescent="0.35">
      <c r="A3" s="65">
        <f>1</f>
        <v>1</v>
      </c>
      <c r="B3" s="86" t="s">
        <v>236</v>
      </c>
      <c r="C3" s="65" t="s">
        <v>110</v>
      </c>
      <c r="D3" s="65">
        <v>6</v>
      </c>
      <c r="E3" s="85">
        <v>143.16999999999999</v>
      </c>
      <c r="F3" s="85">
        <f>ROUND(E3*D3,2)</f>
        <v>859.02</v>
      </c>
    </row>
    <row r="4" spans="1:6" ht="15" customHeight="1" x14ac:dyDescent="0.35">
      <c r="A4" s="61">
        <f>A3+1</f>
        <v>2</v>
      </c>
      <c r="B4" s="44" t="s">
        <v>242</v>
      </c>
      <c r="C4" s="61" t="s">
        <v>237</v>
      </c>
      <c r="D4" s="61">
        <v>5</v>
      </c>
      <c r="E4" s="45">
        <v>9.7899999999999991</v>
      </c>
      <c r="F4" s="45">
        <f>ROUND(E4*D4,2)</f>
        <v>48.95</v>
      </c>
    </row>
    <row r="5" spans="1:6" ht="15" customHeight="1" x14ac:dyDescent="0.35">
      <c r="A5" s="60">
        <f t="shared" ref="A5:A6" si="0">A4+1</f>
        <v>3</v>
      </c>
      <c r="B5" s="36" t="s">
        <v>243</v>
      </c>
      <c r="C5" s="60" t="s">
        <v>237</v>
      </c>
      <c r="D5" s="60">
        <v>4</v>
      </c>
      <c r="E5" s="33">
        <v>97.43</v>
      </c>
      <c r="F5" s="85">
        <f>ROUND(E5*D5,2)</f>
        <v>389.72</v>
      </c>
    </row>
    <row r="6" spans="1:6" ht="53" customHeight="1" x14ac:dyDescent="0.35">
      <c r="A6" s="61">
        <f t="shared" si="0"/>
        <v>4</v>
      </c>
      <c r="B6" s="44" t="s">
        <v>244</v>
      </c>
      <c r="C6" s="61" t="s">
        <v>238</v>
      </c>
      <c r="D6" s="61">
        <v>4</v>
      </c>
      <c r="E6" s="45">
        <v>8.6300000000000008</v>
      </c>
      <c r="F6" s="45">
        <f>ROUND(E6*D6,2)</f>
        <v>34.520000000000003</v>
      </c>
    </row>
    <row r="7" spans="1:6" ht="15" customHeight="1" x14ac:dyDescent="0.35">
      <c r="A7" s="207" t="s">
        <v>239</v>
      </c>
      <c r="B7" s="208"/>
      <c r="C7" s="208"/>
      <c r="D7" s="208"/>
      <c r="E7" s="209"/>
      <c r="F7" s="64">
        <f>ROUND(SUM(F3:F6),2)</f>
        <v>1332.21</v>
      </c>
    </row>
    <row r="8" spans="1:6" ht="15" customHeight="1" x14ac:dyDescent="0.35">
      <c r="A8" s="206" t="s">
        <v>240</v>
      </c>
      <c r="B8" s="206"/>
      <c r="C8" s="206"/>
      <c r="D8" s="206"/>
      <c r="E8" s="206"/>
      <c r="F8" s="64">
        <f>ROUND(F7/12,2)</f>
        <v>111.02</v>
      </c>
    </row>
    <row r="9" spans="1:6" x14ac:dyDescent="0.35">
      <c r="A9" s="84"/>
      <c r="B9" s="84"/>
      <c r="C9" s="84"/>
      <c r="D9" s="84"/>
      <c r="E9" s="84"/>
      <c r="F9" s="84"/>
    </row>
    <row r="10" spans="1:6" x14ac:dyDescent="0.35">
      <c r="A10" s="204" t="s">
        <v>159</v>
      </c>
      <c r="B10" s="204"/>
      <c r="C10" s="204"/>
      <c r="D10" s="204"/>
      <c r="E10" s="204"/>
      <c r="F10" s="204"/>
    </row>
    <row r="11" spans="1:6" x14ac:dyDescent="0.35">
      <c r="A11" s="205" t="s">
        <v>241</v>
      </c>
      <c r="B11" s="205"/>
      <c r="C11" s="205"/>
      <c r="D11" s="205"/>
      <c r="E11" s="205"/>
      <c r="F11" s="205"/>
    </row>
    <row r="12" spans="1:6" x14ac:dyDescent="0.35">
      <c r="A12" s="205"/>
      <c r="B12" s="205"/>
      <c r="C12" s="205"/>
      <c r="D12" s="205"/>
      <c r="E12" s="205"/>
      <c r="F12" s="205"/>
    </row>
  </sheetData>
  <mergeCells count="5">
    <mergeCell ref="A10:F10"/>
    <mergeCell ref="A11:F12"/>
    <mergeCell ref="A1:F1"/>
    <mergeCell ref="A8:E8"/>
    <mergeCell ref="A7:E7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94D0-9A19-4CE4-B827-18B3BAF9B61C}">
  <sheetPr>
    <pageSetUpPr fitToPage="1"/>
  </sheetPr>
  <dimension ref="A1:F10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5.81640625" customWidth="1"/>
    <col min="2" max="2" width="27.81640625" customWidth="1"/>
    <col min="3" max="3" width="9.1796875" customWidth="1"/>
    <col min="4" max="4" width="9.36328125" customWidth="1"/>
    <col min="5" max="5" width="12.81640625" customWidth="1"/>
    <col min="6" max="6" width="14.36328125" customWidth="1"/>
  </cols>
  <sheetData>
    <row r="1" spans="1:6" ht="27" customHeight="1" x14ac:dyDescent="0.35">
      <c r="A1" s="179" t="s">
        <v>245</v>
      </c>
      <c r="B1" s="179"/>
      <c r="C1" s="179"/>
      <c r="D1" s="179"/>
      <c r="E1" s="179"/>
      <c r="F1" s="179"/>
    </row>
    <row r="2" spans="1:6" ht="39.75" customHeight="1" x14ac:dyDescent="0.35">
      <c r="A2" s="24" t="s">
        <v>73</v>
      </c>
      <c r="B2" s="87" t="s">
        <v>163</v>
      </c>
      <c r="C2" s="24" t="s">
        <v>109</v>
      </c>
      <c r="D2" s="24" t="s">
        <v>162</v>
      </c>
      <c r="E2" s="24" t="s">
        <v>161</v>
      </c>
      <c r="F2" s="24" t="s">
        <v>160</v>
      </c>
    </row>
    <row r="3" spans="1:6" ht="25" x14ac:dyDescent="0.35">
      <c r="A3" s="65">
        <f>1</f>
        <v>1</v>
      </c>
      <c r="B3" s="86" t="s">
        <v>246</v>
      </c>
      <c r="C3" s="65" t="s">
        <v>248</v>
      </c>
      <c r="D3" s="65">
        <v>4</v>
      </c>
      <c r="E3" s="85">
        <v>24.9</v>
      </c>
      <c r="F3" s="85">
        <f>ROUND(E3*D3,2)</f>
        <v>99.6</v>
      </c>
    </row>
    <row r="4" spans="1:6" ht="15" customHeight="1" x14ac:dyDescent="0.35">
      <c r="A4" s="61">
        <f>A3+1</f>
        <v>2</v>
      </c>
      <c r="B4" s="44" t="s">
        <v>247</v>
      </c>
      <c r="C4" s="61" t="s">
        <v>238</v>
      </c>
      <c r="D4" s="61">
        <v>2</v>
      </c>
      <c r="E4" s="45">
        <v>27.25</v>
      </c>
      <c r="F4" s="45">
        <f>ROUND(E4*D4,2)</f>
        <v>54.5</v>
      </c>
    </row>
    <row r="5" spans="1:6" ht="15" customHeight="1" x14ac:dyDescent="0.35">
      <c r="A5" s="207" t="s">
        <v>249</v>
      </c>
      <c r="B5" s="208"/>
      <c r="C5" s="208"/>
      <c r="D5" s="208"/>
      <c r="E5" s="209"/>
      <c r="F5" s="64">
        <f>ROUND(SUM(F3:F4),2)</f>
        <v>154.1</v>
      </c>
    </row>
    <row r="6" spans="1:6" ht="15" customHeight="1" x14ac:dyDescent="0.35">
      <c r="A6" s="206" t="s">
        <v>250</v>
      </c>
      <c r="B6" s="206"/>
      <c r="C6" s="206"/>
      <c r="D6" s="206"/>
      <c r="E6" s="206"/>
      <c r="F6" s="64">
        <f>ROUND(F5/12,2)</f>
        <v>12.84</v>
      </c>
    </row>
    <row r="7" spans="1:6" x14ac:dyDescent="0.35">
      <c r="A7" s="84"/>
      <c r="B7" s="84"/>
      <c r="C7" s="84"/>
      <c r="D7" s="84"/>
      <c r="E7" s="84"/>
      <c r="F7" s="84"/>
    </row>
    <row r="8" spans="1:6" x14ac:dyDescent="0.35">
      <c r="A8" s="204" t="s">
        <v>159</v>
      </c>
      <c r="B8" s="204"/>
      <c r="C8" s="204"/>
      <c r="D8" s="204"/>
      <c r="E8" s="204"/>
      <c r="F8" s="204"/>
    </row>
    <row r="9" spans="1:6" x14ac:dyDescent="0.35">
      <c r="A9" s="205" t="s">
        <v>241</v>
      </c>
      <c r="B9" s="205"/>
      <c r="C9" s="205"/>
      <c r="D9" s="205"/>
      <c r="E9" s="205"/>
      <c r="F9" s="205"/>
    </row>
    <row r="10" spans="1:6" x14ac:dyDescent="0.35">
      <c r="A10" s="205"/>
      <c r="B10" s="205"/>
      <c r="C10" s="205"/>
      <c r="D10" s="205"/>
      <c r="E10" s="205"/>
      <c r="F10" s="205"/>
    </row>
  </sheetData>
  <mergeCells count="5">
    <mergeCell ref="A1:F1"/>
    <mergeCell ref="A5:E5"/>
    <mergeCell ref="A6:E6"/>
    <mergeCell ref="A8:F8"/>
    <mergeCell ref="A9:F10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A077-5D08-4570-92FF-A23BB3637060}">
  <sheetPr codeName="Planilha22">
    <pageSetUpPr fitToPage="1"/>
  </sheetPr>
  <dimension ref="A1:F20"/>
  <sheetViews>
    <sheetView view="pageBreakPreview" topLeftCell="A7" zoomScaleNormal="100" zoomScaleSheetLayoutView="100" workbookViewId="0">
      <selection activeCell="E6" sqref="E6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3.90625" customWidth="1"/>
  </cols>
  <sheetData>
    <row r="1" spans="1:6" ht="15" customHeight="1" x14ac:dyDescent="0.35">
      <c r="A1" s="210" t="s">
        <v>257</v>
      </c>
      <c r="B1" s="211"/>
      <c r="C1" s="211"/>
      <c r="D1" s="211"/>
      <c r="E1" s="211"/>
      <c r="F1" s="212"/>
    </row>
    <row r="2" spans="1:6" ht="37.5" customHeight="1" x14ac:dyDescent="0.35">
      <c r="A2" s="24" t="s">
        <v>73</v>
      </c>
      <c r="B2" s="24" t="s">
        <v>163</v>
      </c>
      <c r="C2" s="91" t="s">
        <v>109</v>
      </c>
      <c r="D2" s="91" t="s">
        <v>165</v>
      </c>
      <c r="E2" s="24" t="s">
        <v>161</v>
      </c>
      <c r="F2" s="24" t="s">
        <v>160</v>
      </c>
    </row>
    <row r="3" spans="1:6" ht="15" customHeight="1" x14ac:dyDescent="0.35">
      <c r="A3" s="21">
        <f>1</f>
        <v>1</v>
      </c>
      <c r="B3" s="86" t="s">
        <v>251</v>
      </c>
      <c r="C3" s="21" t="s">
        <v>164</v>
      </c>
      <c r="D3" s="21">
        <v>1</v>
      </c>
      <c r="E3" s="90">
        <v>3190.22</v>
      </c>
      <c r="F3" s="17">
        <f>ROUND(D3*E3,2)</f>
        <v>3190.22</v>
      </c>
    </row>
    <row r="4" spans="1:6" ht="15" customHeight="1" x14ac:dyDescent="0.35">
      <c r="A4" s="21">
        <f>A3+1</f>
        <v>2</v>
      </c>
      <c r="B4" s="86" t="s">
        <v>252</v>
      </c>
      <c r="C4" s="21" t="s">
        <v>164</v>
      </c>
      <c r="D4" s="21">
        <v>1</v>
      </c>
      <c r="E4" s="90">
        <v>118.77</v>
      </c>
      <c r="F4" s="17">
        <f t="shared" ref="F4:F6" si="0">ROUND(D4*E4,2)</f>
        <v>118.77</v>
      </c>
    </row>
    <row r="5" spans="1:6" ht="26.5" customHeight="1" x14ac:dyDescent="0.35">
      <c r="A5" s="21">
        <f>A4+1</f>
        <v>3</v>
      </c>
      <c r="B5" s="86" t="s">
        <v>253</v>
      </c>
      <c r="C5" s="21" t="s">
        <v>164</v>
      </c>
      <c r="D5" s="21">
        <v>1</v>
      </c>
      <c r="E5" s="90">
        <v>1065.5</v>
      </c>
      <c r="F5" s="17">
        <f t="shared" si="0"/>
        <v>1065.5</v>
      </c>
    </row>
    <row r="6" spans="1:6" ht="39.5" customHeight="1" x14ac:dyDescent="0.35">
      <c r="A6" s="21">
        <f>A5+1</f>
        <v>4</v>
      </c>
      <c r="B6" s="86" t="s">
        <v>254</v>
      </c>
      <c r="C6" s="21" t="s">
        <v>164</v>
      </c>
      <c r="D6" s="21">
        <v>1</v>
      </c>
      <c r="E6" s="90">
        <v>930.8</v>
      </c>
      <c r="F6" s="17">
        <f t="shared" si="0"/>
        <v>930.8</v>
      </c>
    </row>
    <row r="7" spans="1:6" ht="14.5" customHeight="1" x14ac:dyDescent="0.35">
      <c r="A7" s="163" t="s">
        <v>173</v>
      </c>
      <c r="B7" s="163"/>
      <c r="C7" s="163"/>
      <c r="D7" s="163"/>
      <c r="E7" s="162"/>
      <c r="F7" s="28">
        <f>ROUND(SUM(F3:F6),2)</f>
        <v>5305.29</v>
      </c>
    </row>
    <row r="8" spans="1:6" ht="27" customHeight="1" x14ac:dyDescent="0.35">
      <c r="A8" s="161" t="s">
        <v>172</v>
      </c>
      <c r="B8" s="163"/>
      <c r="C8" s="163"/>
      <c r="D8" s="163"/>
      <c r="E8" s="162"/>
      <c r="F8" s="28">
        <f>ROUND(0.6*83*F7/10000,2)</f>
        <v>26.42</v>
      </c>
    </row>
    <row r="9" spans="1:6" ht="27" customHeight="1" x14ac:dyDescent="0.35">
      <c r="A9" s="161" t="s">
        <v>171</v>
      </c>
      <c r="B9" s="163"/>
      <c r="C9" s="163"/>
      <c r="D9" s="163"/>
      <c r="E9" s="162"/>
      <c r="F9" s="28">
        <f>ROUND(F7*(1-0.2)/(12*8),2)</f>
        <v>44.21</v>
      </c>
    </row>
    <row r="10" spans="1:6" ht="27" customHeight="1" x14ac:dyDescent="0.35">
      <c r="A10" s="161" t="s">
        <v>170</v>
      </c>
      <c r="B10" s="163"/>
      <c r="C10" s="163"/>
      <c r="D10" s="163"/>
      <c r="E10" s="162"/>
      <c r="F10" s="28">
        <f>ROUND(F8+F9,2)</f>
        <v>70.63</v>
      </c>
    </row>
    <row r="11" spans="1:6" ht="5" customHeight="1" x14ac:dyDescent="0.35">
      <c r="A11" s="18"/>
      <c r="B11" s="18"/>
      <c r="C11" s="18"/>
      <c r="D11" s="18"/>
      <c r="E11" s="18"/>
      <c r="F11" s="6"/>
    </row>
    <row r="12" spans="1:6" ht="14.5" customHeight="1" x14ac:dyDescent="0.35">
      <c r="A12" s="204" t="s">
        <v>159</v>
      </c>
      <c r="B12" s="204"/>
      <c r="C12" s="204"/>
      <c r="D12" s="204"/>
      <c r="E12" s="204"/>
      <c r="F12" s="204"/>
    </row>
    <row r="13" spans="1:6" ht="14.5" customHeight="1" x14ac:dyDescent="0.35">
      <c r="A13" s="213" t="s">
        <v>241</v>
      </c>
      <c r="B13" s="213"/>
      <c r="C13" s="213"/>
      <c r="D13" s="213"/>
      <c r="E13" s="213"/>
      <c r="F13" s="213"/>
    </row>
    <row r="14" spans="1:6" x14ac:dyDescent="0.35">
      <c r="A14" s="213"/>
      <c r="B14" s="213"/>
      <c r="C14" s="213"/>
      <c r="D14" s="213"/>
      <c r="E14" s="213"/>
      <c r="F14" s="213"/>
    </row>
    <row r="15" spans="1:6" x14ac:dyDescent="0.35">
      <c r="A15" s="89"/>
      <c r="B15" s="88"/>
      <c r="C15" s="88"/>
      <c r="D15" s="88"/>
      <c r="E15" s="88"/>
      <c r="F15" s="2"/>
    </row>
    <row r="16" spans="1:6" ht="14.5" customHeight="1" x14ac:dyDescent="0.35">
      <c r="A16" s="164" t="s">
        <v>169</v>
      </c>
      <c r="B16" s="164"/>
      <c r="C16" s="164"/>
      <c r="D16" s="164"/>
      <c r="E16" s="164"/>
      <c r="F16" s="164"/>
    </row>
    <row r="17" spans="1:6" ht="100" customHeight="1" x14ac:dyDescent="0.35">
      <c r="A17" s="150" t="s">
        <v>168</v>
      </c>
      <c r="B17" s="150"/>
      <c r="C17" s="150"/>
      <c r="D17" s="150"/>
      <c r="E17" s="150"/>
      <c r="F17" s="150"/>
    </row>
    <row r="18" spans="1:6" x14ac:dyDescent="0.35">
      <c r="A18" s="2"/>
      <c r="B18" s="2"/>
      <c r="C18" s="2"/>
      <c r="D18" s="2"/>
      <c r="E18" s="2"/>
      <c r="F18" s="2"/>
    </row>
    <row r="19" spans="1:6" ht="14.5" customHeight="1" x14ac:dyDescent="0.35">
      <c r="A19" s="164" t="s">
        <v>167</v>
      </c>
      <c r="B19" s="164"/>
      <c r="C19" s="164"/>
      <c r="D19" s="164"/>
      <c r="E19" s="164"/>
      <c r="F19" s="164"/>
    </row>
    <row r="20" spans="1:6" ht="32.15" customHeight="1" x14ac:dyDescent="0.35">
      <c r="A20" s="150" t="s">
        <v>166</v>
      </c>
      <c r="B20" s="150"/>
      <c r="C20" s="150"/>
      <c r="D20" s="150"/>
      <c r="E20" s="150"/>
      <c r="F20" s="150"/>
    </row>
  </sheetData>
  <mergeCells count="11">
    <mergeCell ref="A16:F16"/>
    <mergeCell ref="A17:F17"/>
    <mergeCell ref="A1:F1"/>
    <mergeCell ref="A19:F19"/>
    <mergeCell ref="A20:F20"/>
    <mergeCell ref="A7:E7"/>
    <mergeCell ref="A8:E8"/>
    <mergeCell ref="A9:E9"/>
    <mergeCell ref="A10:E10"/>
    <mergeCell ref="A12:F12"/>
    <mergeCell ref="A13:F14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26FDE-40AA-4C10-A5A1-6DE680D4DCEB}">
  <sheetPr>
    <pageSetUpPr fitToPage="1"/>
  </sheetPr>
  <dimension ref="A1:F18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3.90625" customWidth="1"/>
  </cols>
  <sheetData>
    <row r="1" spans="1:6" ht="15" customHeight="1" x14ac:dyDescent="0.35">
      <c r="A1" s="210" t="s">
        <v>256</v>
      </c>
      <c r="B1" s="211"/>
      <c r="C1" s="211"/>
      <c r="D1" s="211"/>
      <c r="E1" s="211"/>
      <c r="F1" s="212"/>
    </row>
    <row r="2" spans="1:6" ht="37.5" customHeight="1" x14ac:dyDescent="0.35">
      <c r="A2" s="24" t="s">
        <v>73</v>
      </c>
      <c r="B2" s="24" t="s">
        <v>163</v>
      </c>
      <c r="C2" s="91" t="s">
        <v>109</v>
      </c>
      <c r="D2" s="91" t="s">
        <v>165</v>
      </c>
      <c r="E2" s="24" t="s">
        <v>161</v>
      </c>
      <c r="F2" s="24" t="s">
        <v>160</v>
      </c>
    </row>
    <row r="3" spans="1:6" ht="26.5" customHeight="1" x14ac:dyDescent="0.35">
      <c r="A3" s="21">
        <v>1</v>
      </c>
      <c r="B3" s="86" t="s">
        <v>253</v>
      </c>
      <c r="C3" s="21" t="s">
        <v>164</v>
      </c>
      <c r="D3" s="21">
        <v>1</v>
      </c>
      <c r="E3" s="90">
        <v>1065.5</v>
      </c>
      <c r="F3" s="17">
        <f t="shared" ref="F3:F4" si="0">ROUND(D3*E3,2)</f>
        <v>1065.5</v>
      </c>
    </row>
    <row r="4" spans="1:6" ht="39.5" customHeight="1" x14ac:dyDescent="0.35">
      <c r="A4" s="21">
        <f>A3+1</f>
        <v>2</v>
      </c>
      <c r="B4" s="86" t="s">
        <v>254</v>
      </c>
      <c r="C4" s="21" t="s">
        <v>164</v>
      </c>
      <c r="D4" s="21">
        <v>1</v>
      </c>
      <c r="E4" s="90">
        <v>930.8</v>
      </c>
      <c r="F4" s="17">
        <f t="shared" si="0"/>
        <v>930.8</v>
      </c>
    </row>
    <row r="5" spans="1:6" ht="14.5" customHeight="1" x14ac:dyDescent="0.35">
      <c r="A5" s="163" t="s">
        <v>173</v>
      </c>
      <c r="B5" s="163"/>
      <c r="C5" s="163"/>
      <c r="D5" s="163"/>
      <c r="E5" s="162"/>
      <c r="F5" s="28">
        <f>ROUND(SUM(F3:F4),2)</f>
        <v>1996.3</v>
      </c>
    </row>
    <row r="6" spans="1:6" ht="27" customHeight="1" x14ac:dyDescent="0.35">
      <c r="A6" s="161" t="s">
        <v>172</v>
      </c>
      <c r="B6" s="163"/>
      <c r="C6" s="163"/>
      <c r="D6" s="163"/>
      <c r="E6" s="162"/>
      <c r="F6" s="28">
        <f>ROUND(0.6*83*F5/10000,2)</f>
        <v>9.94</v>
      </c>
    </row>
    <row r="7" spans="1:6" ht="27" customHeight="1" x14ac:dyDescent="0.35">
      <c r="A7" s="161" t="s">
        <v>171</v>
      </c>
      <c r="B7" s="163"/>
      <c r="C7" s="163"/>
      <c r="D7" s="163"/>
      <c r="E7" s="162"/>
      <c r="F7" s="28">
        <f>ROUND(F5*(1-0.2)/(12*8),2)</f>
        <v>16.64</v>
      </c>
    </row>
    <row r="8" spans="1:6" ht="27" customHeight="1" x14ac:dyDescent="0.35">
      <c r="A8" s="161" t="s">
        <v>170</v>
      </c>
      <c r="B8" s="163"/>
      <c r="C8" s="163"/>
      <c r="D8" s="163"/>
      <c r="E8" s="162"/>
      <c r="F8" s="28">
        <f>ROUND(F6+F7,2)</f>
        <v>26.58</v>
      </c>
    </row>
    <row r="9" spans="1:6" ht="5" customHeight="1" x14ac:dyDescent="0.35">
      <c r="A9" s="18"/>
      <c r="B9" s="18"/>
      <c r="C9" s="18"/>
      <c r="D9" s="18"/>
      <c r="E9" s="18"/>
      <c r="F9" s="6"/>
    </row>
    <row r="10" spans="1:6" ht="14.5" customHeight="1" x14ac:dyDescent="0.35">
      <c r="A10" s="204" t="s">
        <v>159</v>
      </c>
      <c r="B10" s="204"/>
      <c r="C10" s="204"/>
      <c r="D10" s="204"/>
      <c r="E10" s="204"/>
      <c r="F10" s="204"/>
    </row>
    <row r="11" spans="1:6" ht="14.5" customHeight="1" x14ac:dyDescent="0.35">
      <c r="A11" s="213" t="s">
        <v>241</v>
      </c>
      <c r="B11" s="213"/>
      <c r="C11" s="213"/>
      <c r="D11" s="213"/>
      <c r="E11" s="213"/>
      <c r="F11" s="213"/>
    </row>
    <row r="12" spans="1:6" x14ac:dyDescent="0.35">
      <c r="A12" s="213"/>
      <c r="B12" s="213"/>
      <c r="C12" s="213"/>
      <c r="D12" s="213"/>
      <c r="E12" s="213"/>
      <c r="F12" s="213"/>
    </row>
    <row r="13" spans="1:6" x14ac:dyDescent="0.35">
      <c r="A13" s="89"/>
      <c r="B13" s="88"/>
      <c r="C13" s="88"/>
      <c r="D13" s="88"/>
      <c r="E13" s="88"/>
      <c r="F13" s="2"/>
    </row>
    <row r="14" spans="1:6" ht="14.5" customHeight="1" x14ac:dyDescent="0.35">
      <c r="A14" s="164" t="s">
        <v>169</v>
      </c>
      <c r="B14" s="164"/>
      <c r="C14" s="164"/>
      <c r="D14" s="164"/>
      <c r="E14" s="164"/>
      <c r="F14" s="164"/>
    </row>
    <row r="15" spans="1:6" ht="100" customHeight="1" x14ac:dyDescent="0.35">
      <c r="A15" s="150" t="s">
        <v>168</v>
      </c>
      <c r="B15" s="150"/>
      <c r="C15" s="150"/>
      <c r="D15" s="150"/>
      <c r="E15" s="150"/>
      <c r="F15" s="150"/>
    </row>
    <row r="16" spans="1:6" x14ac:dyDescent="0.35">
      <c r="A16" s="2"/>
      <c r="B16" s="2"/>
      <c r="C16" s="2"/>
      <c r="D16" s="2"/>
      <c r="E16" s="2"/>
      <c r="F16" s="2"/>
    </row>
    <row r="17" spans="1:6" ht="14.5" customHeight="1" x14ac:dyDescent="0.35">
      <c r="A17" s="164" t="s">
        <v>167</v>
      </c>
      <c r="B17" s="164"/>
      <c r="C17" s="164"/>
      <c r="D17" s="164"/>
      <c r="E17" s="164"/>
      <c r="F17" s="164"/>
    </row>
    <row r="18" spans="1:6" ht="32.15" customHeight="1" x14ac:dyDescent="0.35">
      <c r="A18" s="150" t="s">
        <v>166</v>
      </c>
      <c r="B18" s="150"/>
      <c r="C18" s="150"/>
      <c r="D18" s="150"/>
      <c r="E18" s="150"/>
      <c r="F18" s="150"/>
    </row>
  </sheetData>
  <mergeCells count="11">
    <mergeCell ref="A10:F10"/>
    <mergeCell ref="A1:F1"/>
    <mergeCell ref="A5:E5"/>
    <mergeCell ref="A6:E6"/>
    <mergeCell ref="A7:E7"/>
    <mergeCell ref="A8:E8"/>
    <mergeCell ref="A11:F12"/>
    <mergeCell ref="A14:F14"/>
    <mergeCell ref="A15:F15"/>
    <mergeCell ref="A17:F17"/>
    <mergeCell ref="A18:F18"/>
  </mergeCells>
  <printOptions horizontalCentered="1"/>
  <pageMargins left="0.23622047244094491" right="0.23622047244094491" top="1.9291338582677167" bottom="0.74803149606299213" header="0.9055118110236221" footer="0.31496062992125984"/>
  <pageSetup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C1A2-8F43-4142-AFA6-9EA899B5DD88}">
  <sheetPr>
    <pageSetUpPr fitToPage="1"/>
  </sheetPr>
  <dimension ref="A1:F54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5.90625" bestFit="1" customWidth="1"/>
  </cols>
  <sheetData>
    <row r="1" spans="1:6" ht="15" customHeight="1" x14ac:dyDescent="0.35">
      <c r="A1" s="210" t="s">
        <v>260</v>
      </c>
      <c r="B1" s="211"/>
      <c r="C1" s="211"/>
      <c r="D1" s="211"/>
      <c r="E1" s="211"/>
      <c r="F1" s="212"/>
    </row>
    <row r="2" spans="1:6" ht="37.5" customHeight="1" x14ac:dyDescent="0.35">
      <c r="A2" s="24" t="s">
        <v>73</v>
      </c>
      <c r="B2" s="24" t="s">
        <v>261</v>
      </c>
      <c r="C2" s="91" t="s">
        <v>109</v>
      </c>
      <c r="D2" s="91" t="s">
        <v>262</v>
      </c>
      <c r="E2" s="24" t="s">
        <v>263</v>
      </c>
      <c r="F2" s="24" t="s">
        <v>306</v>
      </c>
    </row>
    <row r="3" spans="1:6" ht="15" customHeight="1" x14ac:dyDescent="0.35">
      <c r="A3" s="21">
        <v>1</v>
      </c>
      <c r="B3" s="86" t="s">
        <v>265</v>
      </c>
      <c r="C3" s="21" t="s">
        <v>269</v>
      </c>
      <c r="D3" s="21">
        <v>144</v>
      </c>
      <c r="E3" s="90">
        <v>4.97</v>
      </c>
      <c r="F3" s="17">
        <f t="shared" ref="F3:F37" si="0">ROUND(D3*E3,2)</f>
        <v>715.68</v>
      </c>
    </row>
    <row r="4" spans="1:6" ht="37.5" x14ac:dyDescent="0.35">
      <c r="A4" s="49">
        <f>A3+1</f>
        <v>2</v>
      </c>
      <c r="B4" s="44" t="s">
        <v>266</v>
      </c>
      <c r="C4" s="49" t="s">
        <v>269</v>
      </c>
      <c r="D4" s="49">
        <v>120</v>
      </c>
      <c r="E4" s="108">
        <v>13.42</v>
      </c>
      <c r="F4" s="43">
        <f t="shared" si="0"/>
        <v>1610.4</v>
      </c>
    </row>
    <row r="5" spans="1:6" ht="37.5" x14ac:dyDescent="0.35">
      <c r="A5" s="21">
        <f t="shared" ref="A5:A37" si="1">A4+1</f>
        <v>3</v>
      </c>
      <c r="B5" s="86" t="s">
        <v>267</v>
      </c>
      <c r="C5" s="21" t="s">
        <v>269</v>
      </c>
      <c r="D5" s="21">
        <v>120</v>
      </c>
      <c r="E5" s="90">
        <v>9.6999999999999993</v>
      </c>
      <c r="F5" s="17">
        <f t="shared" si="0"/>
        <v>1164</v>
      </c>
    </row>
    <row r="6" spans="1:6" ht="25" x14ac:dyDescent="0.35">
      <c r="A6" s="49">
        <f t="shared" si="1"/>
        <v>4</v>
      </c>
      <c r="B6" s="109" t="s">
        <v>270</v>
      </c>
      <c r="C6" s="110" t="s">
        <v>238</v>
      </c>
      <c r="D6" s="110">
        <v>6</v>
      </c>
      <c r="E6" s="108">
        <v>115.53</v>
      </c>
      <c r="F6" s="43">
        <f t="shared" si="0"/>
        <v>693.18</v>
      </c>
    </row>
    <row r="7" spans="1:6" x14ac:dyDescent="0.35">
      <c r="A7" s="21">
        <f t="shared" si="1"/>
        <v>5</v>
      </c>
      <c r="B7" s="106" t="s">
        <v>271</v>
      </c>
      <c r="C7" s="107" t="s">
        <v>238</v>
      </c>
      <c r="D7" s="107">
        <v>6</v>
      </c>
      <c r="E7" s="90">
        <v>35.950000000000003</v>
      </c>
      <c r="F7" s="17">
        <f t="shared" si="0"/>
        <v>215.7</v>
      </c>
    </row>
    <row r="8" spans="1:6" x14ac:dyDescent="0.35">
      <c r="A8" s="49">
        <f t="shared" si="1"/>
        <v>6</v>
      </c>
      <c r="B8" s="109" t="s">
        <v>272</v>
      </c>
      <c r="C8" s="110" t="s">
        <v>238</v>
      </c>
      <c r="D8" s="110">
        <v>24</v>
      </c>
      <c r="E8" s="108">
        <v>56.27</v>
      </c>
      <c r="F8" s="43">
        <f t="shared" si="0"/>
        <v>1350.48</v>
      </c>
    </row>
    <row r="9" spans="1:6" x14ac:dyDescent="0.35">
      <c r="A9" s="21">
        <f t="shared" si="1"/>
        <v>7</v>
      </c>
      <c r="B9" s="106" t="s">
        <v>273</v>
      </c>
      <c r="C9" s="107" t="s">
        <v>238</v>
      </c>
      <c r="D9" s="107">
        <v>8</v>
      </c>
      <c r="E9" s="90">
        <v>127.12</v>
      </c>
      <c r="F9" s="17">
        <f t="shared" si="0"/>
        <v>1016.96</v>
      </c>
    </row>
    <row r="10" spans="1:6" x14ac:dyDescent="0.35">
      <c r="A10" s="49">
        <f t="shared" si="1"/>
        <v>8</v>
      </c>
      <c r="B10" s="109" t="s">
        <v>274</v>
      </c>
      <c r="C10" s="110" t="s">
        <v>238</v>
      </c>
      <c r="D10" s="110">
        <v>24</v>
      </c>
      <c r="E10" s="108">
        <v>45.17</v>
      </c>
      <c r="F10" s="43">
        <f t="shared" si="0"/>
        <v>1084.08</v>
      </c>
    </row>
    <row r="11" spans="1:6" x14ac:dyDescent="0.35">
      <c r="A11" s="21">
        <f t="shared" si="1"/>
        <v>9</v>
      </c>
      <c r="B11" s="106" t="s">
        <v>275</v>
      </c>
      <c r="C11" s="107" t="s">
        <v>238</v>
      </c>
      <c r="D11" s="107">
        <v>6</v>
      </c>
      <c r="E11" s="90">
        <v>45.55</v>
      </c>
      <c r="F11" s="17">
        <f t="shared" si="0"/>
        <v>273.3</v>
      </c>
    </row>
    <row r="12" spans="1:6" x14ac:dyDescent="0.35">
      <c r="A12" s="49">
        <f t="shared" si="1"/>
        <v>10</v>
      </c>
      <c r="B12" s="109" t="s">
        <v>276</v>
      </c>
      <c r="C12" s="110" t="s">
        <v>238</v>
      </c>
      <c r="D12" s="110">
        <v>6</v>
      </c>
      <c r="E12" s="108">
        <v>51.97</v>
      </c>
      <c r="F12" s="43">
        <f t="shared" si="0"/>
        <v>311.82</v>
      </c>
    </row>
    <row r="13" spans="1:6" ht="25" x14ac:dyDescent="0.35">
      <c r="A13" s="21">
        <f t="shared" si="1"/>
        <v>11</v>
      </c>
      <c r="B13" s="106" t="s">
        <v>277</v>
      </c>
      <c r="C13" s="107" t="s">
        <v>238</v>
      </c>
      <c r="D13" s="107">
        <v>12</v>
      </c>
      <c r="E13" s="90">
        <v>41.56</v>
      </c>
      <c r="F13" s="17">
        <f t="shared" si="0"/>
        <v>498.72</v>
      </c>
    </row>
    <row r="14" spans="1:6" ht="25" x14ac:dyDescent="0.35">
      <c r="A14" s="49">
        <f t="shared" si="1"/>
        <v>12</v>
      </c>
      <c r="B14" s="109" t="s">
        <v>301</v>
      </c>
      <c r="C14" s="110" t="s">
        <v>238</v>
      </c>
      <c r="D14" s="110">
        <v>8</v>
      </c>
      <c r="E14" s="108">
        <v>43.88</v>
      </c>
      <c r="F14" s="43">
        <f t="shared" si="0"/>
        <v>351.04</v>
      </c>
    </row>
    <row r="15" spans="1:6" ht="25" x14ac:dyDescent="0.35">
      <c r="A15" s="21">
        <f t="shared" si="1"/>
        <v>13</v>
      </c>
      <c r="B15" s="106" t="s">
        <v>278</v>
      </c>
      <c r="C15" s="107" t="s">
        <v>238</v>
      </c>
      <c r="D15" s="107">
        <v>84</v>
      </c>
      <c r="E15" s="90">
        <v>33.44</v>
      </c>
      <c r="F15" s="17">
        <f t="shared" si="0"/>
        <v>2808.96</v>
      </c>
    </row>
    <row r="16" spans="1:6" x14ac:dyDescent="0.35">
      <c r="A16" s="49">
        <f t="shared" si="1"/>
        <v>14</v>
      </c>
      <c r="B16" s="109" t="s">
        <v>279</v>
      </c>
      <c r="C16" s="110" t="s">
        <v>238</v>
      </c>
      <c r="D16" s="110">
        <v>132</v>
      </c>
      <c r="E16" s="108">
        <v>2.31</v>
      </c>
      <c r="F16" s="43">
        <f t="shared" si="0"/>
        <v>304.92</v>
      </c>
    </row>
    <row r="17" spans="1:6" x14ac:dyDescent="0.35">
      <c r="A17" s="21">
        <f t="shared" si="1"/>
        <v>15</v>
      </c>
      <c r="B17" s="106" t="s">
        <v>280</v>
      </c>
      <c r="C17" s="107" t="s">
        <v>238</v>
      </c>
      <c r="D17" s="107">
        <v>12</v>
      </c>
      <c r="E17" s="90">
        <v>19.559999999999999</v>
      </c>
      <c r="F17" s="17">
        <f t="shared" si="0"/>
        <v>234.72</v>
      </c>
    </row>
    <row r="18" spans="1:6" x14ac:dyDescent="0.35">
      <c r="A18" s="49">
        <f t="shared" si="1"/>
        <v>16</v>
      </c>
      <c r="B18" s="109" t="s">
        <v>281</v>
      </c>
      <c r="C18" s="110" t="s">
        <v>238</v>
      </c>
      <c r="D18" s="110">
        <v>208</v>
      </c>
      <c r="E18" s="108">
        <v>2.2799999999999998</v>
      </c>
      <c r="F18" s="43">
        <f t="shared" si="0"/>
        <v>474.24</v>
      </c>
    </row>
    <row r="19" spans="1:6" x14ac:dyDescent="0.35">
      <c r="A19" s="21">
        <f t="shared" si="1"/>
        <v>17</v>
      </c>
      <c r="B19" s="106" t="s">
        <v>304</v>
      </c>
      <c r="C19" s="107" t="s">
        <v>305</v>
      </c>
      <c r="D19" s="107">
        <v>60</v>
      </c>
      <c r="E19" s="90">
        <v>4.2699999999999996</v>
      </c>
      <c r="F19" s="17">
        <f t="shared" si="0"/>
        <v>256.2</v>
      </c>
    </row>
    <row r="20" spans="1:6" x14ac:dyDescent="0.35">
      <c r="A20" s="49">
        <f t="shared" si="1"/>
        <v>18</v>
      </c>
      <c r="B20" s="109" t="s">
        <v>282</v>
      </c>
      <c r="C20" s="110" t="s">
        <v>238</v>
      </c>
      <c r="D20" s="110">
        <v>60</v>
      </c>
      <c r="E20" s="108">
        <v>8.93</v>
      </c>
      <c r="F20" s="43">
        <f t="shared" si="0"/>
        <v>535.79999999999995</v>
      </c>
    </row>
    <row r="21" spans="1:6" x14ac:dyDescent="0.35">
      <c r="A21" s="21">
        <f t="shared" si="1"/>
        <v>19</v>
      </c>
      <c r="B21" s="106" t="s">
        <v>283</v>
      </c>
      <c r="C21" s="107" t="s">
        <v>238</v>
      </c>
      <c r="D21" s="107">
        <v>49</v>
      </c>
      <c r="E21" s="90">
        <v>13.05</v>
      </c>
      <c r="F21" s="17">
        <f t="shared" si="0"/>
        <v>639.45000000000005</v>
      </c>
    </row>
    <row r="22" spans="1:6" ht="37.5" x14ac:dyDescent="0.35">
      <c r="A22" s="49">
        <f t="shared" si="1"/>
        <v>20</v>
      </c>
      <c r="B22" s="109" t="s">
        <v>302</v>
      </c>
      <c r="C22" s="110" t="s">
        <v>238</v>
      </c>
      <c r="D22" s="110">
        <v>90</v>
      </c>
      <c r="E22" s="108">
        <v>44.86</v>
      </c>
      <c r="F22" s="43">
        <f t="shared" si="0"/>
        <v>4037.4</v>
      </c>
    </row>
    <row r="23" spans="1:6" ht="25" x14ac:dyDescent="0.35">
      <c r="A23" s="21">
        <f t="shared" si="1"/>
        <v>21</v>
      </c>
      <c r="B23" s="106" t="s">
        <v>303</v>
      </c>
      <c r="C23" s="107" t="s">
        <v>238</v>
      </c>
      <c r="D23" s="107">
        <v>6</v>
      </c>
      <c r="E23" s="90">
        <v>35.42</v>
      </c>
      <c r="F23" s="17">
        <f t="shared" si="0"/>
        <v>212.52</v>
      </c>
    </row>
    <row r="24" spans="1:6" x14ac:dyDescent="0.35">
      <c r="A24" s="49">
        <f t="shared" si="1"/>
        <v>22</v>
      </c>
      <c r="B24" s="109" t="s">
        <v>284</v>
      </c>
      <c r="C24" s="110" t="s">
        <v>238</v>
      </c>
      <c r="D24" s="110">
        <v>36</v>
      </c>
      <c r="E24" s="108">
        <v>10.57</v>
      </c>
      <c r="F24" s="43">
        <f t="shared" si="0"/>
        <v>380.52</v>
      </c>
    </row>
    <row r="25" spans="1:6" ht="25" x14ac:dyDescent="0.35">
      <c r="A25" s="21">
        <f t="shared" si="1"/>
        <v>23</v>
      </c>
      <c r="B25" s="106" t="s">
        <v>285</v>
      </c>
      <c r="C25" s="107" t="s">
        <v>286</v>
      </c>
      <c r="D25" s="107">
        <v>96</v>
      </c>
      <c r="E25" s="90">
        <v>14.87</v>
      </c>
      <c r="F25" s="17">
        <f t="shared" si="0"/>
        <v>1427.52</v>
      </c>
    </row>
    <row r="26" spans="1:6" ht="25" x14ac:dyDescent="0.35">
      <c r="A26" s="49">
        <f t="shared" si="1"/>
        <v>24</v>
      </c>
      <c r="B26" s="109" t="s">
        <v>287</v>
      </c>
      <c r="C26" s="110" t="s">
        <v>238</v>
      </c>
      <c r="D26" s="110">
        <v>120</v>
      </c>
      <c r="E26" s="108">
        <v>4.72</v>
      </c>
      <c r="F26" s="43">
        <f t="shared" si="0"/>
        <v>566.4</v>
      </c>
    </row>
    <row r="27" spans="1:6" ht="50" x14ac:dyDescent="0.35">
      <c r="A27" s="21">
        <f t="shared" si="1"/>
        <v>25</v>
      </c>
      <c r="B27" s="106" t="s">
        <v>288</v>
      </c>
      <c r="C27" s="107" t="s">
        <v>289</v>
      </c>
      <c r="D27" s="107">
        <v>120</v>
      </c>
      <c r="E27" s="90">
        <v>112.32</v>
      </c>
      <c r="F27" s="17">
        <f t="shared" si="0"/>
        <v>13478.4</v>
      </c>
    </row>
    <row r="28" spans="1:6" ht="25" x14ac:dyDescent="0.35">
      <c r="A28" s="49">
        <f t="shared" si="1"/>
        <v>26</v>
      </c>
      <c r="B28" s="109" t="s">
        <v>290</v>
      </c>
      <c r="C28" s="110" t="s">
        <v>238</v>
      </c>
      <c r="D28" s="110">
        <v>502</v>
      </c>
      <c r="E28" s="108">
        <v>100.8</v>
      </c>
      <c r="F28" s="43">
        <f t="shared" si="0"/>
        <v>50601.599999999999</v>
      </c>
    </row>
    <row r="29" spans="1:6" ht="50" x14ac:dyDescent="0.35">
      <c r="A29" s="21">
        <f t="shared" si="1"/>
        <v>27</v>
      </c>
      <c r="B29" s="106" t="s">
        <v>291</v>
      </c>
      <c r="C29" s="107" t="s">
        <v>292</v>
      </c>
      <c r="D29" s="107">
        <v>28</v>
      </c>
      <c r="E29" s="90">
        <v>44.74</v>
      </c>
      <c r="F29" s="17">
        <f t="shared" si="0"/>
        <v>1252.72</v>
      </c>
    </row>
    <row r="30" spans="1:6" x14ac:dyDescent="0.35">
      <c r="A30" s="49">
        <f t="shared" si="1"/>
        <v>28</v>
      </c>
      <c r="B30" s="109" t="s">
        <v>293</v>
      </c>
      <c r="C30" s="110" t="s">
        <v>238</v>
      </c>
      <c r="D30" s="110">
        <v>504</v>
      </c>
      <c r="E30" s="108">
        <v>13.7</v>
      </c>
      <c r="F30" s="43">
        <f t="shared" si="0"/>
        <v>6904.8</v>
      </c>
    </row>
    <row r="31" spans="1:6" ht="50" x14ac:dyDescent="0.35">
      <c r="A31" s="21">
        <f t="shared" si="1"/>
        <v>29</v>
      </c>
      <c r="B31" s="106" t="s">
        <v>268</v>
      </c>
      <c r="C31" s="107" t="s">
        <v>269</v>
      </c>
      <c r="D31" s="107">
        <v>134</v>
      </c>
      <c r="E31" s="90">
        <v>31.74</v>
      </c>
      <c r="F31" s="17">
        <f t="shared" si="0"/>
        <v>4253.16</v>
      </c>
    </row>
    <row r="32" spans="1:6" ht="25" x14ac:dyDescent="0.35">
      <c r="A32" s="49">
        <f t="shared" si="1"/>
        <v>30</v>
      </c>
      <c r="B32" s="109" t="s">
        <v>294</v>
      </c>
      <c r="C32" s="110" t="s">
        <v>238</v>
      </c>
      <c r="D32" s="110">
        <v>60</v>
      </c>
      <c r="E32" s="108">
        <v>17.12</v>
      </c>
      <c r="F32" s="43">
        <f t="shared" si="0"/>
        <v>1027.2</v>
      </c>
    </row>
    <row r="33" spans="1:6" x14ac:dyDescent="0.35">
      <c r="A33" s="21">
        <f t="shared" si="1"/>
        <v>31</v>
      </c>
      <c r="B33" s="106" t="s">
        <v>295</v>
      </c>
      <c r="C33" s="107" t="s">
        <v>296</v>
      </c>
      <c r="D33" s="107">
        <v>60</v>
      </c>
      <c r="E33" s="90">
        <v>13.7</v>
      </c>
      <c r="F33" s="17">
        <f t="shared" si="0"/>
        <v>822</v>
      </c>
    </row>
    <row r="34" spans="1:6" ht="37.5" x14ac:dyDescent="0.35">
      <c r="A34" s="49">
        <f t="shared" si="1"/>
        <v>32</v>
      </c>
      <c r="B34" s="109" t="s">
        <v>297</v>
      </c>
      <c r="C34" s="110" t="s">
        <v>269</v>
      </c>
      <c r="D34" s="110">
        <v>144</v>
      </c>
      <c r="E34" s="108">
        <v>56</v>
      </c>
      <c r="F34" s="43">
        <f t="shared" si="0"/>
        <v>8064</v>
      </c>
    </row>
    <row r="35" spans="1:6" ht="37.5" x14ac:dyDescent="0.35">
      <c r="A35" s="21">
        <f t="shared" si="1"/>
        <v>33</v>
      </c>
      <c r="B35" s="106" t="s">
        <v>298</v>
      </c>
      <c r="C35" s="107" t="s">
        <v>238</v>
      </c>
      <c r="D35" s="107">
        <v>48</v>
      </c>
      <c r="E35" s="90">
        <v>30.11</v>
      </c>
      <c r="F35" s="17">
        <f t="shared" si="0"/>
        <v>1445.28</v>
      </c>
    </row>
    <row r="36" spans="1:6" ht="37.5" x14ac:dyDescent="0.35">
      <c r="A36" s="49">
        <f t="shared" si="1"/>
        <v>34</v>
      </c>
      <c r="B36" s="109" t="s">
        <v>299</v>
      </c>
      <c r="C36" s="110" t="s">
        <v>238</v>
      </c>
      <c r="D36" s="110">
        <v>48</v>
      </c>
      <c r="E36" s="108">
        <v>53.53</v>
      </c>
      <c r="F36" s="43">
        <f t="shared" si="0"/>
        <v>2569.44</v>
      </c>
    </row>
    <row r="37" spans="1:6" x14ac:dyDescent="0.35">
      <c r="A37" s="111">
        <f t="shared" si="1"/>
        <v>35</v>
      </c>
      <c r="B37" s="112" t="s">
        <v>300</v>
      </c>
      <c r="C37" s="113" t="s">
        <v>238</v>
      </c>
      <c r="D37" s="113">
        <v>60</v>
      </c>
      <c r="E37" s="115">
        <v>12.3</v>
      </c>
      <c r="F37" s="114">
        <f t="shared" si="0"/>
        <v>738</v>
      </c>
    </row>
    <row r="38" spans="1:6" x14ac:dyDescent="0.35">
      <c r="A38" s="221" t="s">
        <v>307</v>
      </c>
      <c r="B38" s="221"/>
      <c r="C38" s="221"/>
      <c r="D38" s="221"/>
      <c r="E38" s="221"/>
      <c r="F38" s="64">
        <f>ROUND(SUM(F3:F37),2)</f>
        <v>112320.61</v>
      </c>
    </row>
    <row r="40" spans="1:6" x14ac:dyDescent="0.35">
      <c r="B40" s="220" t="s">
        <v>316</v>
      </c>
      <c r="C40" s="220"/>
      <c r="D40" s="220"/>
      <c r="E40" s="220"/>
      <c r="F40" s="220"/>
    </row>
    <row r="41" spans="1:6" x14ac:dyDescent="0.35">
      <c r="B41" s="218" t="s">
        <v>315</v>
      </c>
      <c r="C41" s="218"/>
      <c r="D41" s="218"/>
      <c r="E41" s="218"/>
      <c r="F41" s="218"/>
    </row>
    <row r="42" spans="1:6" x14ac:dyDescent="0.35">
      <c r="B42" s="219" t="s">
        <v>308</v>
      </c>
      <c r="C42" s="219"/>
      <c r="D42" s="219" t="s">
        <v>264</v>
      </c>
      <c r="E42" s="219"/>
      <c r="F42" s="116" t="s">
        <v>317</v>
      </c>
    </row>
    <row r="43" spans="1:6" x14ac:dyDescent="0.35">
      <c r="B43" s="222" t="s">
        <v>309</v>
      </c>
      <c r="C43" s="222"/>
      <c r="D43" s="214">
        <f>F38</f>
        <v>112320.61</v>
      </c>
      <c r="E43" s="214"/>
      <c r="F43" s="117">
        <f>ROUND(D43/12,2)</f>
        <v>9360.0499999999993</v>
      </c>
    </row>
    <row r="44" spans="1:6" x14ac:dyDescent="0.35">
      <c r="B44" s="219" t="s">
        <v>105</v>
      </c>
      <c r="C44" s="219"/>
      <c r="D44" s="215">
        <f>D43</f>
        <v>112320.61</v>
      </c>
      <c r="E44" s="219"/>
      <c r="F44" s="118">
        <f>F43</f>
        <v>9360.0499999999993</v>
      </c>
    </row>
    <row r="45" spans="1:6" x14ac:dyDescent="0.35">
      <c r="B45" s="218" t="s">
        <v>310</v>
      </c>
      <c r="C45" s="218"/>
      <c r="D45" s="218"/>
      <c r="E45" s="218"/>
      <c r="F45" s="218"/>
    </row>
    <row r="46" spans="1:6" x14ac:dyDescent="0.35">
      <c r="B46" s="119" t="s">
        <v>9</v>
      </c>
      <c r="C46" s="122">
        <v>0.1</v>
      </c>
      <c r="D46" s="214">
        <f>ROUND($D$44*C46,2)</f>
        <v>11232.06</v>
      </c>
      <c r="E46" s="214"/>
      <c r="F46" s="117">
        <f>ROUND(D46/12,2)</f>
        <v>936.01</v>
      </c>
    </row>
    <row r="47" spans="1:6" x14ac:dyDescent="0.35">
      <c r="B47" s="119" t="s">
        <v>311</v>
      </c>
      <c r="C47" s="122">
        <v>0.05</v>
      </c>
      <c r="D47" s="214">
        <f>ROUND($D$44*C47,2)</f>
        <v>5616.03</v>
      </c>
      <c r="E47" s="214"/>
      <c r="F47" s="117">
        <f>ROUND(D47/12,2)</f>
        <v>468</v>
      </c>
    </row>
    <row r="48" spans="1:6" x14ac:dyDescent="0.35">
      <c r="B48" s="120" t="s">
        <v>318</v>
      </c>
      <c r="C48" s="123">
        <f>ROUND(SUM(C46:C47),5)</f>
        <v>0.15</v>
      </c>
      <c r="D48" s="215">
        <f>ROUND(SUM(D46:E47),2)</f>
        <v>16848.09</v>
      </c>
      <c r="E48" s="215"/>
      <c r="F48" s="121">
        <f>ROUND(SUM(F46:F47),2)</f>
        <v>1404.01</v>
      </c>
    </row>
    <row r="49" spans="2:6" x14ac:dyDescent="0.35">
      <c r="B49" s="218" t="s">
        <v>312</v>
      </c>
      <c r="C49" s="218"/>
      <c r="D49" s="218"/>
      <c r="E49" s="218"/>
      <c r="F49" s="218"/>
    </row>
    <row r="50" spans="2:6" x14ac:dyDescent="0.35">
      <c r="B50" s="119" t="s">
        <v>68</v>
      </c>
      <c r="C50" s="122">
        <v>0.05</v>
      </c>
      <c r="D50" s="214">
        <f>ROUND(($D$44+$D$48)/(1-$C$53)*C50,2)</f>
        <v>7069.99</v>
      </c>
      <c r="E50" s="214"/>
      <c r="F50" s="117">
        <f>ROUND(D50/12,2)</f>
        <v>589.16999999999996</v>
      </c>
    </row>
    <row r="51" spans="2:6" x14ac:dyDescent="0.35">
      <c r="B51" s="119" t="s">
        <v>69</v>
      </c>
      <c r="C51" s="122">
        <v>0.03</v>
      </c>
      <c r="D51" s="214">
        <f t="shared" ref="D51:D52" si="2">ROUND(($D$44+$D$48)/(1-$C$53)*C51,2)</f>
        <v>4241.99</v>
      </c>
      <c r="E51" s="214"/>
      <c r="F51" s="117">
        <f t="shared" ref="F51:F52" si="3">ROUND(D51/12,2)</f>
        <v>353.5</v>
      </c>
    </row>
    <row r="52" spans="2:6" x14ac:dyDescent="0.35">
      <c r="B52" s="119" t="s">
        <v>70</v>
      </c>
      <c r="C52" s="122">
        <v>6.4999999999999997E-3</v>
      </c>
      <c r="D52" s="214">
        <f t="shared" si="2"/>
        <v>919.1</v>
      </c>
      <c r="E52" s="214"/>
      <c r="F52" s="117">
        <f t="shared" si="3"/>
        <v>76.59</v>
      </c>
    </row>
    <row r="53" spans="2:6" x14ac:dyDescent="0.35">
      <c r="B53" s="120" t="s">
        <v>313</v>
      </c>
      <c r="C53" s="123">
        <f>ROUND(SUM(C50:C52),5)</f>
        <v>8.6499999999999994E-2</v>
      </c>
      <c r="D53" s="215">
        <f>ROUND(SUM(D50:E52),2)</f>
        <v>12231.08</v>
      </c>
      <c r="E53" s="215"/>
      <c r="F53" s="121">
        <f>ROUND(SUM(F50:F52),2)</f>
        <v>1019.26</v>
      </c>
    </row>
    <row r="54" spans="2:6" x14ac:dyDescent="0.35">
      <c r="B54" s="217" t="s">
        <v>314</v>
      </c>
      <c r="C54" s="217"/>
      <c r="D54" s="216">
        <f>ROUND(D44+D48+D53,2)</f>
        <v>141399.78</v>
      </c>
      <c r="E54" s="217"/>
      <c r="F54" s="57">
        <f>ROUND(F44+F48+F53,2)</f>
        <v>11783.32</v>
      </c>
    </row>
  </sheetData>
  <mergeCells count="21">
    <mergeCell ref="A38:E38"/>
    <mergeCell ref="D42:E42"/>
    <mergeCell ref="B42:C42"/>
    <mergeCell ref="B43:C43"/>
    <mergeCell ref="A1:F1"/>
    <mergeCell ref="B44:C44"/>
    <mergeCell ref="B40:F40"/>
    <mergeCell ref="B41:F41"/>
    <mergeCell ref="B45:F45"/>
    <mergeCell ref="D43:E43"/>
    <mergeCell ref="D44:E44"/>
    <mergeCell ref="D52:E52"/>
    <mergeCell ref="D53:E53"/>
    <mergeCell ref="D54:E54"/>
    <mergeCell ref="B54:C54"/>
    <mergeCell ref="D46:E46"/>
    <mergeCell ref="D47:E47"/>
    <mergeCell ref="D48:E48"/>
    <mergeCell ref="B49:F49"/>
    <mergeCell ref="D50:E50"/>
    <mergeCell ref="D51:E51"/>
  </mergeCells>
  <printOptions horizontalCentered="1"/>
  <pageMargins left="0.23622047244094491" right="0.23622047244094491" top="1.9291338582677167" bottom="0.74803149606299213" header="0.9055118110236221" footer="0.31496062992125984"/>
  <pageSetup fitToHeight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11</vt:i4>
      </vt:variant>
    </vt:vector>
  </HeadingPairs>
  <TitlesOfParts>
    <vt:vector size="22" baseType="lpstr">
      <vt:lpstr>Quantidade de Cargo</vt:lpstr>
      <vt:lpstr>Quantidade de Hora-Extra</vt:lpstr>
      <vt:lpstr>Dados de Passagens e Diarias</vt:lpstr>
      <vt:lpstr>Quadro Geral de Custo</vt:lpstr>
      <vt:lpstr>Agente de Limpeza</vt:lpstr>
      <vt:lpstr>Agente de Limpeza Hab</vt:lpstr>
      <vt:lpstr>Uniforme</vt:lpstr>
      <vt:lpstr>EPIs</vt:lpstr>
      <vt:lpstr>Manutenção Equip. 2</vt:lpstr>
      <vt:lpstr>Manutenção Equip. 1</vt:lpstr>
      <vt:lpstr>Material de Limpeza</vt:lpstr>
      <vt:lpstr>'Agente de Limpeza'!Area_de_impressao</vt:lpstr>
      <vt:lpstr>'Agente de Limpeza Hab'!Area_de_impressao</vt:lpstr>
      <vt:lpstr>'Dados de Passagens e Diarias'!Area_de_impressao</vt:lpstr>
      <vt:lpstr>EPIs!Area_de_impressao</vt:lpstr>
      <vt:lpstr>'Manutenção Equip. 1'!Area_de_impressao</vt:lpstr>
      <vt:lpstr>'Manutenção Equip. 2'!Area_de_impressao</vt:lpstr>
      <vt:lpstr>'Material de Limpeza'!Area_de_impressao</vt:lpstr>
      <vt:lpstr>'Quadro Geral de Custo'!Area_de_impressao</vt:lpstr>
      <vt:lpstr>'Quantidade de Cargo'!Area_de_impressao</vt:lpstr>
      <vt:lpstr>'Quantidade de Hora-Extra'!Area_de_impressao</vt:lpstr>
      <vt:lpstr>Uniforme!Area_de_impressao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2023-09-22T15:15:37Z</cp:lastPrinted>
  <dcterms:created xsi:type="dcterms:W3CDTF">2019-11-11T13:48:18Z</dcterms:created>
  <dcterms:modified xsi:type="dcterms:W3CDTF">2023-09-22T15:16:07Z</dcterms:modified>
</cp:coreProperties>
</file>