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cessos\Licitações\2021\Pregão 02\"/>
    </mc:Choice>
  </mc:AlternateContent>
  <xr:revisionPtr revIDLastSave="0" documentId="13_ncr:1_{69D09C41-FFA6-4D80-8E95-04F8309B9877}" xr6:coauthVersionLast="46" xr6:coauthVersionMax="46" xr10:uidLastSave="{00000000-0000-0000-0000-000000000000}"/>
  <bookViews>
    <workbookView xWindow="-108" yWindow="-108" windowWidth="23256" windowHeight="12576" tabRatio="752" activeTab="5" xr2:uid="{00000000-000D-0000-FFFF-FFFF00000000}"/>
  </bookViews>
  <sheets>
    <sheet name="Quadro Geral" sheetId="12" r:id="rId1"/>
    <sheet name="Agente de Portaria" sheetId="14" r:id="rId2"/>
    <sheet name="Uniforme Agente" sheetId="15" r:id="rId3"/>
    <sheet name="Equipamento" sheetId="16" r:id="rId4"/>
    <sheet name="Previsão de Horas-Extras" sheetId="30" r:id="rId5"/>
    <sheet name="Agente Horas-Extras" sheetId="29" r:id="rId6"/>
  </sheets>
  <definedNames>
    <definedName name="_xlnm.Print_Area" localSheetId="1">'Agente de Portaria'!$A$1:$Q$105</definedName>
    <definedName name="_xlnm.Print_Area" localSheetId="5">'Agente Horas-Extras'!$A$1:$D$103</definedName>
    <definedName name="_xlnm.Print_Area" localSheetId="3">Equipamento!$A$1:$F$23</definedName>
    <definedName name="_xlnm.Print_Area" localSheetId="4">'Previsão de Horas-Extras'!$A$1:$E$13</definedName>
    <definedName name="_xlnm.Print_Area" localSheetId="0">'Quadro Geral'!$A$1:$L$19</definedName>
    <definedName name="_xlnm.Print_Area" localSheetId="2">'Uniforme Agente'!$A$1:$F$16</definedName>
  </definedNames>
  <calcPr calcId="191029"/>
</workbook>
</file>

<file path=xl/calcChain.xml><?xml version="1.0" encoding="utf-8"?>
<calcChain xmlns="http://schemas.openxmlformats.org/spreadsheetml/2006/main">
  <c r="D66" i="29" l="1"/>
  <c r="D67" i="29" s="1"/>
  <c r="D70" i="14"/>
  <c r="D66" i="14"/>
  <c r="D67" i="14" s="1"/>
  <c r="D68" i="29"/>
  <c r="C87" i="29"/>
  <c r="C81" i="29"/>
  <c r="C77" i="29"/>
  <c r="C43" i="29"/>
  <c r="C54" i="29" s="1"/>
  <c r="C42" i="29"/>
  <c r="C41" i="29"/>
  <c r="C40" i="29"/>
  <c r="C52" i="29" s="1"/>
  <c r="C36" i="29"/>
  <c r="C35" i="29"/>
  <c r="C44" i="29" s="1"/>
  <c r="C34" i="29"/>
  <c r="C33" i="29"/>
  <c r="C53" i="29" s="1"/>
  <c r="C32" i="29"/>
  <c r="C31" i="29"/>
  <c r="C30" i="29"/>
  <c r="C29" i="29"/>
  <c r="C26" i="29"/>
  <c r="C58" i="29" s="1"/>
  <c r="C59" i="29" s="1"/>
  <c r="D102" i="29" s="1"/>
  <c r="D13" i="29"/>
  <c r="D14" i="29" s="1"/>
  <c r="F6" i="16"/>
  <c r="A4" i="16"/>
  <c r="A5" i="16" s="1"/>
  <c r="A6" i="16" s="1"/>
  <c r="A7" i="16" s="1"/>
  <c r="D69" i="14"/>
  <c r="A3" i="15"/>
  <c r="F10" i="15"/>
  <c r="F9" i="15"/>
  <c r="F8" i="15"/>
  <c r="F7" i="15"/>
  <c r="F6" i="15"/>
  <c r="F5" i="15"/>
  <c r="F4" i="15"/>
  <c r="F3" i="15"/>
  <c r="F9" i="16"/>
  <c r="F8" i="16"/>
  <c r="F7" i="16"/>
  <c r="F5" i="16"/>
  <c r="F4" i="16"/>
  <c r="F10" i="16" l="1"/>
  <c r="F12" i="16" s="1"/>
  <c r="D69" i="29"/>
  <c r="C37" i="29"/>
  <c r="D98" i="29" s="1"/>
  <c r="C45" i="29"/>
  <c r="D99" i="29" s="1"/>
  <c r="D58" i="29"/>
  <c r="D59" i="29" s="1"/>
  <c r="D52" i="29"/>
  <c r="D44" i="29"/>
  <c r="D40" i="29"/>
  <c r="D34" i="29"/>
  <c r="D30" i="29"/>
  <c r="D23" i="29"/>
  <c r="D43" i="29"/>
  <c r="D21" i="29"/>
  <c r="D20" i="29"/>
  <c r="D54" i="29"/>
  <c r="D36" i="29"/>
  <c r="D22" i="29"/>
  <c r="D32" i="29"/>
  <c r="D19" i="29"/>
  <c r="D33" i="29"/>
  <c r="D29" i="29"/>
  <c r="D42" i="29"/>
  <c r="D18" i="29"/>
  <c r="D24" i="29"/>
  <c r="D53" i="29"/>
  <c r="D41" i="29"/>
  <c r="D35" i="29"/>
  <c r="D31" i="29"/>
  <c r="D25" i="29"/>
  <c r="C55" i="29"/>
  <c r="D101" i="29" s="1"/>
  <c r="D97" i="29"/>
  <c r="A8" i="16"/>
  <c r="A9" i="16" s="1"/>
  <c r="F11" i="15"/>
  <c r="F12" i="15" s="1"/>
  <c r="D73" i="14" s="1"/>
  <c r="C48" i="29" l="1"/>
  <c r="C49" i="29" s="1"/>
  <c r="D100" i="29" s="1"/>
  <c r="D103" i="29" s="1"/>
  <c r="D26" i="29"/>
  <c r="D45" i="29"/>
  <c r="D37" i="29"/>
  <c r="D55" i="29"/>
  <c r="F11" i="16"/>
  <c r="F13" i="16" s="1"/>
  <c r="D74" i="14" s="1"/>
  <c r="C60" i="29" l="1"/>
  <c r="D48" i="29"/>
  <c r="D49" i="29" s="1"/>
  <c r="D60" i="29" s="1"/>
  <c r="D62" i="29" s="1"/>
  <c r="D71" i="29" s="1"/>
  <c r="I5" i="12"/>
  <c r="C87" i="14"/>
  <c r="D76" i="29" l="1"/>
  <c r="D75" i="29"/>
  <c r="C93" i="14"/>
  <c r="C83" i="14"/>
  <c r="C26" i="14"/>
  <c r="C43" i="14"/>
  <c r="C54" i="14" s="1"/>
  <c r="C42" i="14"/>
  <c r="C41" i="14"/>
  <c r="C40" i="14"/>
  <c r="C52" i="14" s="1"/>
  <c r="C36" i="14"/>
  <c r="C35" i="14"/>
  <c r="C44" i="14" s="1"/>
  <c r="C34" i="14"/>
  <c r="C33" i="14"/>
  <c r="C53" i="14" s="1"/>
  <c r="C32" i="14"/>
  <c r="C31" i="14"/>
  <c r="C30" i="14"/>
  <c r="C29" i="14"/>
  <c r="D77" i="29" l="1"/>
  <c r="D79" i="29" s="1"/>
  <c r="D81" i="29" s="1"/>
  <c r="C58" i="14"/>
  <c r="C59" i="14" s="1"/>
  <c r="D104" i="14" s="1"/>
  <c r="D99" i="14"/>
  <c r="C37" i="14"/>
  <c r="D100" i="14" s="1"/>
  <c r="C55" i="14"/>
  <c r="D103" i="14" s="1"/>
  <c r="C45" i="14"/>
  <c r="D101" i="14" s="1"/>
  <c r="D85" i="29" l="1"/>
  <c r="D86" i="29"/>
  <c r="D84" i="29"/>
  <c r="A4" i="15"/>
  <c r="D87" i="29" l="1"/>
  <c r="D89" i="29" s="1"/>
  <c r="D92" i="29" s="1"/>
  <c r="A5" i="15"/>
  <c r="G5" i="12"/>
  <c r="C48" i="14"/>
  <c r="C49" i="14" s="1"/>
  <c r="D13" i="14"/>
  <c r="D14" i="14" s="1"/>
  <c r="D94" i="29" l="1"/>
  <c r="D9" i="30" s="1"/>
  <c r="E9" i="30" s="1"/>
  <c r="E10" i="30" s="1"/>
  <c r="D93" i="29"/>
  <c r="D4" i="30" s="1"/>
  <c r="E4" i="30" s="1"/>
  <c r="E5" i="30" s="1"/>
  <c r="A6" i="15"/>
  <c r="A7" i="15" s="1"/>
  <c r="A8" i="15" s="1"/>
  <c r="A9" i="15" s="1"/>
  <c r="A10" i="15" s="1"/>
  <c r="C60" i="14"/>
  <c r="D102" i="14"/>
  <c r="D105" i="14" s="1"/>
  <c r="D18" i="14"/>
  <c r="D29" i="14"/>
  <c r="D22" i="14"/>
  <c r="D54" i="14"/>
  <c r="D53" i="14"/>
  <c r="D52" i="14"/>
  <c r="D42" i="14"/>
  <c r="D25" i="14"/>
  <c r="D24" i="14"/>
  <c r="D36" i="14"/>
  <c r="D41" i="14"/>
  <c r="D35" i="14"/>
  <c r="D40" i="14"/>
  <c r="D23" i="14"/>
  <c r="D44" i="14"/>
  <c r="D32" i="14"/>
  <c r="D20" i="14"/>
  <c r="D31" i="14"/>
  <c r="D30" i="14"/>
  <c r="D33" i="14"/>
  <c r="D21" i="14"/>
  <c r="D43" i="14"/>
  <c r="D34" i="14"/>
  <c r="D58" i="14"/>
  <c r="D59" i="14" s="1"/>
  <c r="D19" i="14"/>
  <c r="D48" i="14"/>
  <c r="D49" i="14" s="1"/>
  <c r="E11" i="30" l="1"/>
  <c r="E12" i="30" s="1"/>
  <c r="J8" i="12" s="1"/>
  <c r="K8" i="12" s="1"/>
  <c r="D26" i="14"/>
  <c r="D37" i="14"/>
  <c r="D45" i="14"/>
  <c r="D55" i="14"/>
  <c r="D75" i="14"/>
  <c r="J9" i="12" l="1"/>
  <c r="L8" i="12"/>
  <c r="L9" i="12" s="1"/>
  <c r="K9" i="12"/>
  <c r="D60" i="14"/>
  <c r="D62" i="14" l="1"/>
  <c r="D77" i="14" s="1"/>
  <c r="D82" i="14" l="1"/>
  <c r="D81" i="14"/>
  <c r="D83" i="14" l="1"/>
  <c r="D85" i="14" s="1"/>
  <c r="D87" i="14" s="1"/>
  <c r="D90" i="14" s="1"/>
  <c r="D92" i="14" l="1"/>
  <c r="D91" i="14"/>
  <c r="D93" i="14" l="1"/>
  <c r="D95" i="14" s="1"/>
  <c r="D96" i="14" s="1"/>
  <c r="H4" i="12" l="1"/>
  <c r="J4" i="12" s="1"/>
  <c r="K4" i="12" s="1"/>
  <c r="K5" i="12" l="1"/>
  <c r="L4" i="12"/>
  <c r="L5" i="12" s="1"/>
  <c r="H5" i="12"/>
  <c r="J5" i="12"/>
  <c r="J11" i="12" l="1"/>
  <c r="J12" i="12" s="1"/>
  <c r="J13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35" authorId="0" shapeId="0" xr:uid="{3E57E9E3-6D37-4971-B3C3-5314C5501BE2}">
      <text>
        <r>
          <rPr>
            <sz val="9"/>
            <color indexed="81"/>
            <rFont val="Segoe UI"/>
            <family val="2"/>
          </rPr>
          <t xml:space="preserve">Decidir se vai usar 8,33% (só férias) ou 11,11% (com 1/3).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35" authorId="0" shapeId="0" xr:uid="{2D38DFE9-233B-4D98-8870-B69B13D6356E}">
      <text>
        <r>
          <rPr>
            <sz val="9"/>
            <color indexed="81"/>
            <rFont val="Segoe UI"/>
            <family val="2"/>
          </rPr>
          <t xml:space="preserve">Decidir se vai usar 8,33% (só férias) ou 11,11% (com 1/3).
</t>
        </r>
      </text>
    </comment>
  </commentList>
</comments>
</file>

<file path=xl/sharedStrings.xml><?xml version="1.0" encoding="utf-8"?>
<sst xmlns="http://schemas.openxmlformats.org/spreadsheetml/2006/main" count="387" uniqueCount="216">
  <si>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</si>
  <si>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</si>
  <si>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</si>
  <si>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</si>
  <si>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</si>
  <si>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</si>
  <si>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</si>
  <si>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</si>
  <si>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</si>
  <si>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</si>
  <si>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Art. 2°, § 3º, da Lei 11.457, de 16 de março de 2007.</t>
  </si>
  <si>
    <t>Art. 15, Lei nº 8.036/90 e Art. 7º, III, CF.</t>
  </si>
  <si>
    <t>Art. 30, Lei 8.036, de 11 de maio de 1990.</t>
  </si>
  <si>
    <t>Art. 1º, caput, Decreto-Lei 6.246, de 1944 (SENAI) e art. 4º, caput do Decreto-Lei 8.621, de 1946. (SENAC).</t>
  </si>
  <si>
    <t>Art. 1°, I, 2 c/c art. 3°, ambos do Decreto-Lei 1.146, de 31 de dezembro de 1970.</t>
  </si>
  <si>
    <t>Art. 8º, Lei 8.029, de 12 de abril de 1990.</t>
  </si>
  <si>
    <t>Art. 3º, Inciso I, Decreto 87.043, de 22 de março de 1982.</t>
  </si>
  <si>
    <t>[(1/12)x100] = 8,333% - Art. 7º, VIII, CF/88</t>
  </si>
  <si>
    <t>[(1/12]x100] = 8,333% - Art. 7º, XVII, CF/88</t>
  </si>
  <si>
    <t>FUNDAMENTO/METODOLOGIA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</si>
  <si>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</si>
  <si>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</si>
  <si>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</si>
  <si>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</si>
  <si>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</si>
  <si>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</si>
  <si>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</si>
  <si>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</si>
  <si>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</si>
  <si>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</si>
  <si>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</si>
  <si>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</si>
  <si>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</si>
  <si>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B.02 Férias (sem o abono de 1/3)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</si>
  <si>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</si>
  <si>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</si>
  <si>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</si>
  <si>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</si>
  <si>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</si>
  <si>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</si>
  <si>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</si>
  <si>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[(100% / 30) x 7] / 12 = 1,944% - Art. 7º, XXI, CF/88, 477, 487 e ss. da CLT</t>
  </si>
  <si>
    <t>(Benefícios de auxílio doença urbano/ População Economicamente Ativa Ocupada) / 12 = 0,222% - Art. 59 e ss. Da Lei nº 8.213/91</t>
  </si>
  <si>
    <t>{[(100% /30) x 15] / 12} x (nºCAT/População INSS CAT) = 0,051% - Art. 19 a 23 da Lei nº 8.213/91</t>
  </si>
  <si>
    <t>[(100% / 30) x 1,4947] / 12 = 0,415% - Art. 473 da CLT</t>
  </si>
  <si>
    <t>[(8,333% x 1,416% x 4/12) x 100] = 0,039% - Impacto do item férias sobre a licença maternidade</t>
  </si>
  <si>
    <t>{[(100% /30) x 5] / 12} x 1,416% = 0,020% - Art. 7º, XIX, CF/88 e 10, §1º, da ADCT</t>
  </si>
  <si>
    <t>INFORMAÇÕES COMPLEMENTARES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</si>
  <si>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</si>
  <si>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</si>
  <si>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</si>
  <si>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</si>
  <si>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</si>
  <si>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{[0,05x(1/12)]x100} = 0,417% - Art. 7º, XXI, CF/88, 477, 487 e ss. CLT</t>
  </si>
  <si>
    <t>[1/12 x 3,4275%] = 0,286% - Art. 9º da Lei nº 7.238, de 1984</t>
  </si>
  <si>
    <t>(1x0,40x0,08x100) = 3,200% - Art. 18, §1º da Lei 8.036/90</t>
  </si>
  <si>
    <t>[(1/3)/12x100] = 2,778% - Art. 7º, XVII, CF/88</t>
  </si>
  <si>
    <t>{[(1/3)/12]x0,02x(4/12) x100]} = 0,013% - Art. 7º, XVII, CF/88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</si>
  <si>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</si>
  <si>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</si>
  <si>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</si>
  <si>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</si>
  <si>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</si>
  <si>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E.02 Incidência do FGTS sobre o período médio de afastamento superior a 15 dias motivado por acidente do trabalho</t>
  </si>
  <si>
    <t>E.03 Incidência de FGTS sobre férias 1/3 constitucional</t>
  </si>
  <si>
    <t>TOTAL - GRUPO E</t>
  </si>
  <si>
    <t>A.02 x C.01 = (0,08x0,00417)x100 0,033% - Súmula nº 305 do TST</t>
  </si>
  <si>
    <t>E.02 - Estimativa de que 8% (oito por cento) dos empregados sofrem acidentes durante o ano, com ausência média de 30 dias durante o ano. O percentual do FGTS (8%) será aplicado somente sobre os 15 dias restantes do afastamento, porque os 15 primeiros dias já foram calculados no item B.05.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</si>
  <si>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</si>
  <si>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</si>
  <si>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</si>
  <si>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</si>
  <si>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</si>
  <si>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</si>
  <si>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</si>
  <si>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Vale transporte</t>
  </si>
  <si>
    <t>Desconto legal sobre transporte (máximo 6% do salário-base)</t>
  </si>
  <si>
    <t>TOTAL - INSUMOS (R$)</t>
  </si>
  <si>
    <t>OBSERVAÇÃO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</si>
  <si>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</si>
  <si>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</si>
  <si>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</si>
  <si>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</si>
  <si>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</si>
  <si>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</si>
  <si>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</si>
  <si>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</si>
  <si>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</si>
  <si>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</si>
  <si>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</si>
  <si>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</si>
  <si>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Descrição</t>
  </si>
  <si>
    <t>Unidade de Medida</t>
  </si>
  <si>
    <t>Und.</t>
  </si>
  <si>
    <t>Par</t>
  </si>
  <si>
    <t>Qtde. Anual
(a)</t>
  </si>
  <si>
    <t>Valor Médio Unitário (R$)
(b)</t>
  </si>
  <si>
    <t>Custo Total (R$)
(c = a x b)</t>
  </si>
  <si>
    <t>Quant. Total (a)</t>
  </si>
  <si>
    <t>Uni.</t>
  </si>
  <si>
    <t>CBO:</t>
  </si>
  <si>
    <t>Convenção Coletiva de Trabalho/Acordo/ Dissídio Coletivo de Trabalho:</t>
  </si>
  <si>
    <t>Vale Refeição</t>
  </si>
  <si>
    <t>BASE DE CÁLCULO PARA TRIBUTO</t>
  </si>
  <si>
    <t>Calça</t>
  </si>
  <si>
    <t>Camisa</t>
  </si>
  <si>
    <t>Crachá</t>
  </si>
  <si>
    <t>NOTA MANUTENÇÃO DOS EQUIPAMENTOS</t>
  </si>
  <si>
    <t>NOTA DEPRECIAÇÃO DOS EQUIPAMENTOS</t>
  </si>
  <si>
    <t>Para o cálculo do insumo Depreciação de Equipamentos, adotou-se vida útil de 8 anos e valor residual de 20%, com base no Manual de Custos Rodoviários do DNIT, volume 1, de 2003.</t>
  </si>
  <si>
    <t>EQUIPAMENTO</t>
  </si>
  <si>
    <t>PREÇO ANUAL PARA 1 (UM) POSTO (R$) - PREÇO MENSAL X 12 MESES</t>
  </si>
  <si>
    <t>Subitem</t>
  </si>
  <si>
    <t>EMPREGADO</t>
  </si>
  <si>
    <t>1.1</t>
  </si>
  <si>
    <t>Outros</t>
  </si>
  <si>
    <t>C.04 Abono de Férias - 1/3 constitucional</t>
  </si>
  <si>
    <t>C.05 Abono de Férias - 1/3 constitucional sobre licença maternidade</t>
  </si>
  <si>
    <t>C.01 - Estimativa de que 5% (cinco por cento) dos empregados serão substituídos durante um ano.
C.02 - Estimativa de que 3,4275% dos empregados receberão indenização de acordo com a média nacional de 12 meses (abril 2015 - março 2016) da Taxa de Rotatividade por Nível Geográfico - M.T.E./CAGED.
C.03 - Multa de 40% do FGTS em relação aos trabalhadores contratados.
Obs: Esta extinguida a cobrança da contribuição social de 10% devida pelos empregadores em caso de despedida sem justa causa, conforme Lei Federal n.º 13.932/2019.</t>
  </si>
  <si>
    <t>B.03 - Redução de 7 dias ou de 2h por dia para 100 % dos empregados. Percentual relativo a contrato de 12 (doze) meses.
B.04 - De acordo com dados do MTPS, foram concedidos 1.462.463 benefícios de auxílio doença urbano no ano de 2013 em uma população de contribuintes para o INSS de 54.796.761 pessoas (http://www.mtps.gov.br/dados-abertos/dados-da-previdencia/previdencia-social-e- INSS/boletim-estatístico-da-previdência-social-beps).
B.05 - Estimativa de 1 licença de 15 dias por ano para 1,22% dos empregados. Esta taxa foi obtida pela proporção de acidentes de trabalho registrados, 717.911, conforme dados do Anuário Estatístico da Previdência Social – AEPS/2013, em relação a 58.981.000 de trabalhadores que fazem jus a emissão da CAT (trabalhadores com carteira assinada, outros tipos de trabalhadores e domésticas), conforme dados da PNAD 2013.
B.06 - Estimativa de 1,4947 ausências por ano, de acordo com a IN 2/2008-MPOG.
B.07 - Estimativa de 1,416% (taxa de natalidade da população brasileira/IBGE) de empregadas usufruindo 4 meses de licença por ano.
B.08 - Estimativa de 1,416% (taxa de natalidade da população brasileira/IBGE) dos empregados usufruindo 5 dias da licença por ano.</t>
  </si>
  <si>
    <t>A.02 x C.04 (0,08x0,02778)x100 0,222% - Lei 8.036, de 1990, art. 15, §5º</t>
  </si>
  <si>
    <t>A.02 x B.05 (0,08x0,0051)x100 0,004% - Lei 8.036, de 1990, art. 15, §5º</t>
  </si>
  <si>
    <t>Valor do insumo Manutenção de Equipamentos foi obtido adotando-se a metodologia das Tabelas de Composições de Preços para Orçamentação, publicação da Editora Pini, para equipamentos de pequeno porte (aproximadamente 1,5HP), com utilização, em média, de 83h/mês, em conjunto com o Manual de Custos Rodoviários do DNIT, Volume 1, de 2003:
K = 0,6 (conforme adotado pelo Sicro2 /DNIT – Manual de Custos Rodoviários –
Volume 1, página 83);
VU = Vida Útil = 10.000 horas
V0 = Valor de aquisição do equipamento</t>
  </si>
  <si>
    <t>Quantidade de Posto
(a)</t>
  </si>
  <si>
    <t>Quantidade de Empregado por Posto
(c)</t>
  </si>
  <si>
    <t>Vlr. Unitário por Empregado R$
(b)</t>
  </si>
  <si>
    <t>Vlr. Mensal R$ (d= a x b x c)</t>
  </si>
  <si>
    <t>Vlr. Anual R$ (e= d x 12 meses)</t>
  </si>
  <si>
    <t>1.0</t>
  </si>
  <si>
    <t>Custo Global (R$) (∑ do Custo Total) →</t>
  </si>
  <si>
    <t>Custo Mensal com a Manutenção dos Equipamentos: (k x 83 x V0/VU) →</t>
  </si>
  <si>
    <t>Custo Mensal com a Depreciação dos Equipamentos: [Valor total dos equipamentos x (1,00-0,20)]/(12x8) →</t>
  </si>
  <si>
    <t>Custo Mensal Manut. Depre. dos Equipamentos (R$) (Custo Mensal Manutenção + Depreciação) →</t>
  </si>
  <si>
    <t>Mão de Obra</t>
  </si>
  <si>
    <t>FONTE DOS VALORES</t>
  </si>
  <si>
    <t>Elaborado por:</t>
  </si>
  <si>
    <t>Empregado</t>
  </si>
  <si>
    <t>D.01 = 0,3980 x 0,19357 = 7,704%</t>
  </si>
  <si>
    <t>F.01 = (Encargos Grupo A) x (Remuneração) x 4/12 x 2%, em que:
Encargos do Grupo A = 0,3980;
4/12 = período de 4 meses de licença em um ano;
2% = Estimativa de que 2% dos empregados usufruirão da licença maternidade de 4 meses em um ano.
F.01 = 0,39800x(4/12)x(2/100) = 0,265%</t>
  </si>
  <si>
    <t>SEÇÃO I - COMPOSIÇÃO DA REMUNERAÇÃO (R$)</t>
  </si>
  <si>
    <t>SEÇÃO II - ENCARGOS SOCIAIS INCIDENTES SOBRE A REMUNERAÇÃO (R$)</t>
  </si>
  <si>
    <t>SEÇÃO III - INSUMOS</t>
  </si>
  <si>
    <t>Lucro e Despesas Indiretas – LDI:
Para fins de estimativa da CONTRATANTE, em Lucro e Despesas Indiretas - LDI, foram consideradas as despesas administrativas e operacionais (5%) e a margem de lucro (10%).</t>
  </si>
  <si>
    <t>TOTAL DE REMUNERAÇÃO + ENCARGOS SOCIAIS + INSUMOS + INTRAJORNADA + LDI (R$)</t>
  </si>
  <si>
    <t>Os tributos (ISS, COFINS e PIS) foram definidos utilizando o regime de tributação de Lucro PRESUMIDO.</t>
  </si>
  <si>
    <t>TOTAL - GRUPO A   - ENCARGOS</t>
  </si>
  <si>
    <t>TOTAL ENCARGOS SOCIAIS</t>
  </si>
  <si>
    <t>Fiel duplo</t>
  </si>
  <si>
    <t>Boné</t>
  </si>
  <si>
    <t>Livro de ocorrências</t>
  </si>
  <si>
    <t>Apito</t>
  </si>
  <si>
    <t>Custo Global Uniforme (R$) (∑ do Custo Total) →</t>
  </si>
  <si>
    <t>Custo Mensal Uniforme (R$) (Custo Global ÷ 12 meses) →</t>
  </si>
  <si>
    <t xml:space="preserve">Lanterna tipo cotovelo </t>
  </si>
  <si>
    <t>Agente de Portaria 44 Semanais</t>
  </si>
  <si>
    <t>2.0</t>
  </si>
  <si>
    <t>Custo por Demanda</t>
  </si>
  <si>
    <t>Horas Extras</t>
  </si>
  <si>
    <t>2.1.</t>
  </si>
  <si>
    <t>Agente de Portaria 44hrs Semanais</t>
  </si>
  <si>
    <t>5174-15</t>
  </si>
  <si>
    <t>UNIFORME - Agente de Portaria</t>
  </si>
  <si>
    <t>RAT: 3% (Serviços combinados para apoio a edifícios – código 8111-7/00, do Anexo V do Decreto nº 3.048/1999) X FAP: 2,000 (Padrão);</t>
  </si>
  <si>
    <t>Desconto sobre o vale refeição (máximo 5% do vale refeição)</t>
  </si>
  <si>
    <t>O vale transporte foi baseado no preço da passagem praticada na cidade de Manaus-AM (R$ 3,80), em fevereiro de 2021, considerando o trajeto de ida e volta residência/Coren-AM.
Vale transporte = VTx2x22</t>
  </si>
  <si>
    <t>Cesta Básica</t>
  </si>
  <si>
    <t>Plano Odontológico</t>
  </si>
  <si>
    <t>Desconto legal sobre plano de odontológico (máximo R$ 2,00 do plano)</t>
  </si>
  <si>
    <t>Conforme planilha de Uniforme Agente de Portaria</t>
  </si>
  <si>
    <t>Conforme planilha de Equipamento Agente de Portaria</t>
  </si>
  <si>
    <t>Cinto</t>
  </si>
  <si>
    <t>Sapato</t>
  </si>
  <si>
    <t>Detector de Metal tipo raquete</t>
  </si>
  <si>
    <t>Capa de Chuva tipo poncho militar</t>
  </si>
  <si>
    <t>Tabela de Horas-Extras - Agente de Portaria</t>
  </si>
  <si>
    <t>A - ESTIMATIVA DE HORAS EXTRAORDINARIAS ANUAL - SABADO E DIAS ÚTEIS</t>
  </si>
  <si>
    <t>Categoria Profissional</t>
  </si>
  <si>
    <t>Qtde. de Profissionais - a</t>
  </si>
  <si>
    <t>Qtde. de Horas-Extras - b</t>
  </si>
  <si>
    <t>Valor da Hora Extra (R$) - c</t>
  </si>
  <si>
    <t>Custo (R$) - d = a x b x c</t>
  </si>
  <si>
    <t>B - ESTIMATIVA DE HORAS EXTRAORDINARIAS ANUAL - DOMINGOS E FERIADOS</t>
  </si>
  <si>
    <t>Agente de Portaria</t>
  </si>
  <si>
    <t>C - CUSTO ANUAL COM HORAS EXTRAS (A+B)</t>
  </si>
  <si>
    <r>
      <t xml:space="preserve">D - CUSTO MENSAL COM HORAS EXTRAS (C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12)</t>
    </r>
  </si>
  <si>
    <t>TOTAL - A (R$)</t>
  </si>
  <si>
    <t>TOTAL - B (R$)</t>
  </si>
  <si>
    <t>PLANILHA ORÇAMENTÁRIA DE REFERÊNCIA DE FORMAÇÃO DE CUSTO DE HORAS-EXTRAS/EXTRAODINÁRIO</t>
  </si>
  <si>
    <t>VALORES - SERVIÇO EXTRAODINÁRIO</t>
  </si>
  <si>
    <t>PREÇO HOMEM HORA DE 1 (UM) EMPREGADO (R$)</t>
  </si>
  <si>
    <t>HOMEM-HORA A 50% (R$)</t>
  </si>
  <si>
    <t>HOMEM-HORA A 100% (R$)</t>
  </si>
  <si>
    <t>Equipamento</t>
  </si>
  <si>
    <t>TOTAL ANUAL (TOTAL MENSAL X 12 MESES) R$ →</t>
  </si>
  <si>
    <t>Consulta no Painel de Preços e Sites Especializados de Dominio Amplo em fev/2021</t>
  </si>
  <si>
    <t>Radio comunicador completo (com bateria e carregador) Referência Motorola DEP 450</t>
  </si>
  <si>
    <t>Vlr. Bienal R$ (f= e x 2 anos)</t>
  </si>
  <si>
    <t>Vlr. Mensal R$ (g)</t>
  </si>
  <si>
    <t>Vlr. Anual R$ (h = g x 12 meses)</t>
  </si>
  <si>
    <t>Vlr. Bienal R$ (i= h x 2 anos)</t>
  </si>
  <si>
    <t>TOTAL BIANUAL (TOTAL ANUAL X 2 ANOS) R$ →</t>
  </si>
  <si>
    <t>QUADRO GERAL - ITEM 2 - AGENTE DE PORTARIA</t>
  </si>
  <si>
    <t>SubTotal Item 1.0 R$ →</t>
  </si>
  <si>
    <t>SubTotal Item 2.0 R$ →</t>
  </si>
  <si>
    <t xml:space="preserve">TOTAL MENSAL (SubTotal Item 1.0 + Item 2.0) R$ → </t>
  </si>
  <si>
    <t>EQUIPAMENTO - Agente de Portaria</t>
  </si>
  <si>
    <t>SEÇÃO IV - LDI E TRIBUTAÇÃO</t>
  </si>
  <si>
    <t>CCT 2021/2023 de N.º Registro no MTE: AM000042/2021, N.º da Solicitação: MR002652/2021 e N.º do Processo: 13621.100902/2021-12.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</si>
  <si>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22
Onde: 
O valor diário é R$ 20,50, conforme Cláusula Sétima, da CCT 2021/2023 de N.º Registro no MTE: AM000042/2021, N.º da Solicitação: MR002652/2021 e N.º do Processo: 13621.100902/2021-12.
O 22 é o número médio de dias efetivamente trabalhado pelos empregados no mês.</t>
  </si>
  <si>
    <t>Dedução legal do vale refeição: O valor da dedução do vale refeição está de acordo com a Cláusula Sétima, Parágrafo Segundo, da CCT 2021/2023 de N.º Registro no MTE: AM000042/2021, N.º da Solicitação: MR002652/2021 e N.º do Processo: 13621.100902/2021-12.</t>
  </si>
  <si>
    <t>Conforme Cláusula Oitava da CCT 2021/2023 de N.º Registro no MTE: AM000042/2021, N.º da Solicitação: MR002652/2021 e N.º do Processo: 13621.100902/2021-12.</t>
  </si>
  <si>
    <t>REMUNERAÇÃO - Não serão aceitos valores de salário-base menores que os estabelecidos na planilha. Os demais valores são apenas estimativos e devem ser cotados de acordo com a Convenção Coletiva de Trabalho indicada e a legislação pertinente. 
INSUMOS - Os insumos foram calculados conforme Convenção Coletiva de Trabalho - CCT 2021/2023 de N.º Registro no MTE: AM000042/2021, N.º da Solicitação: MR002652/2021 e N.º do Processo: 13621.100902/2021-12.
LUCRO E DESPESAS INDIRETAS - Eventuais custos não previstos expressamente na memória de cálculo (Exemplo Auxilio/Morte Funeral e Seguro de Vida) devem ser cobertos pelo LDI (Lucro e Despesas Indiretas).
TRIBUTAÇÃO - A licitante deve elaborar sua proposta e, por conseguinte, sua planilha com base no regime de tributação ao qual estará submetida durante a execução do contrato.</t>
  </si>
  <si>
    <t>Conforme Cláusula Décima Terceira, Parágrafo Primeiro da CCT 2021/2023 de N.º Registro no MTE: AM000042/2021, N.º da Solicitação: MR002652/2021 e N.º do Processo: 13621.100902/2021-12.</t>
  </si>
  <si>
    <t>Dedução legal do vale transporte: O valor da dedução do vale transporte está de acordo com o art. 4º, parágrafo único da Lei 7.418, de 16 de dezembro de 1985 e Cláusula Nona, Parágrafo Segundo, da CCT 2021/2023 de N.º Registro no MTE: AM000042/2021, N.º da Solicitação: MR002652/2021 e N.º do Processo: 13621.100902/2021-12.</t>
  </si>
  <si>
    <t xml:space="preserve">Meias longas de algodão, cor preta </t>
  </si>
  <si>
    <t>(Nome do Representante)
Representante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</si>
</sst>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%"/>
    <numFmt numFmtId="166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Segoe UI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8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65" fontId="1" fillId="0" borderId="1" xfId="5" quotePrefix="1" applyNumberFormat="1" applyFont="1" applyFill="1" applyBorder="1" applyAlignment="1" applyProtection="1">
      <alignment horizontal="center" vertical="center"/>
    </xf>
    <xf numFmtId="165" fontId="8" fillId="0" borderId="1" xfId="5" quotePrefix="1" applyNumberFormat="1" applyFont="1" applyFill="1" applyBorder="1" applyAlignment="1" applyProtection="1">
      <alignment horizontal="center" vertical="center"/>
    </xf>
    <xf numFmtId="165" fontId="1" fillId="0" borderId="1" xfId="6" quotePrefix="1" applyNumberFormat="1" applyFont="1" applyBorder="1" applyAlignment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8" fillId="2" borderId="1" xfId="5" quotePrefix="1" applyNumberFormat="1" applyFont="1" applyFill="1" applyBorder="1" applyAlignment="1" applyProtection="1">
      <alignment horizontal="center" vertical="center"/>
    </xf>
    <xf numFmtId="9" fontId="0" fillId="0" borderId="0" xfId="3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165" fontId="3" fillId="0" borderId="1" xfId="3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4" fontId="3" fillId="0" borderId="1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/>
    </xf>
    <xf numFmtId="4" fontId="5" fillId="7" borderId="1" xfId="0" applyNumberFormat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horizontal="center" vertical="center" wrapText="1"/>
    </xf>
    <xf numFmtId="4" fontId="10" fillId="6" borderId="1" xfId="0" applyNumberFormat="1" applyFont="1" applyFill="1" applyBorder="1" applyAlignment="1">
      <alignment horizontal="center" vertical="center" wrapText="1"/>
    </xf>
    <xf numFmtId="165" fontId="5" fillId="7" borderId="1" xfId="3" applyNumberFormat="1" applyFont="1" applyFill="1" applyBorder="1" applyAlignment="1">
      <alignment horizontal="center"/>
    </xf>
    <xf numFmtId="165" fontId="3" fillId="3" borderId="1" xfId="3" applyNumberFormat="1" applyFont="1" applyFill="1" applyBorder="1" applyAlignment="1">
      <alignment horizontal="right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165" fontId="5" fillId="7" borderId="1" xfId="3" applyNumberFormat="1" applyFont="1" applyFill="1" applyBorder="1" applyAlignment="1">
      <alignment horizontal="center" vertical="center" wrapText="1"/>
    </xf>
    <xf numFmtId="10" fontId="3" fillId="3" borderId="1" xfId="3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10" fontId="5" fillId="7" borderId="1" xfId="3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65" fontId="8" fillId="3" borderId="1" xfId="5" quotePrefix="1" applyNumberFormat="1" applyFont="1" applyFill="1" applyBorder="1" applyAlignment="1" applyProtection="1">
      <alignment horizontal="center" vertical="center"/>
    </xf>
    <xf numFmtId="165" fontId="1" fillId="3" borderId="1" xfId="5" quotePrefix="1" applyNumberFormat="1" applyFont="1" applyFill="1" applyBorder="1" applyAlignment="1" applyProtection="1">
      <alignment horizontal="center" vertical="center"/>
    </xf>
    <xf numFmtId="165" fontId="1" fillId="3" borderId="1" xfId="6" quotePrefix="1" applyNumberFormat="1" applyFont="1" applyFill="1" applyBorder="1" applyAlignment="1">
      <alignment horizontal="center" vertical="center"/>
    </xf>
    <xf numFmtId="165" fontId="1" fillId="3" borderId="1" xfId="4" quotePrefix="1" applyNumberFormat="1" applyFont="1" applyFill="1" applyBorder="1" applyAlignment="1" applyProtection="1">
      <alignment horizontal="center" vertical="center"/>
    </xf>
    <xf numFmtId="165" fontId="1" fillId="3" borderId="1" xfId="5" applyNumberFormat="1" applyFont="1" applyFill="1" applyBorder="1" applyAlignment="1" applyProtection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right" vertical="center"/>
    </xf>
    <xf numFmtId="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7" borderId="6" xfId="0" applyFont="1" applyFill="1" applyBorder="1" applyAlignment="1">
      <alignment horizontal="right" vertical="center"/>
    </xf>
    <xf numFmtId="0" fontId="5" fillId="7" borderId="3" xfId="0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166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7" borderId="6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5" fillId="7" borderId="3" xfId="0" applyFont="1" applyFill="1" applyBorder="1" applyAlignment="1">
      <alignment horizontal="right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86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SpPr txBox="1"/>
          </xdr:nvSpPr>
          <xdr:spPr>
            <a:xfrm>
              <a:off x="7063317" y="267102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7063317" y="267102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view="pageBreakPreview" zoomScaleNormal="100" zoomScaleSheetLayoutView="100" workbookViewId="0">
      <selection activeCell="E24" sqref="F24"/>
    </sheetView>
  </sheetViews>
  <sheetFormatPr defaultRowHeight="14.4" x14ac:dyDescent="0.3"/>
  <cols>
    <col min="2" max="6" width="6.6640625" customWidth="1"/>
    <col min="7" max="7" width="12.77734375" customWidth="1"/>
    <col min="8" max="8" width="14.21875" customWidth="1"/>
    <col min="9" max="9" width="14" customWidth="1"/>
    <col min="10" max="11" width="12.77734375" customWidth="1"/>
    <col min="12" max="12" width="13.77734375" customWidth="1"/>
  </cols>
  <sheetData>
    <row r="1" spans="1:14" x14ac:dyDescent="0.3">
      <c r="A1" s="85" t="s">
        <v>201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4" x14ac:dyDescent="0.3">
      <c r="A2" s="48" t="s">
        <v>128</v>
      </c>
      <c r="B2" s="87" t="s">
        <v>133</v>
      </c>
      <c r="C2" s="88"/>
      <c r="D2" s="88"/>
      <c r="E2" s="88"/>
      <c r="F2" s="88"/>
      <c r="G2" s="88"/>
      <c r="H2" s="88"/>
      <c r="I2" s="88"/>
      <c r="J2" s="88"/>
      <c r="K2" s="88"/>
      <c r="L2" s="89"/>
    </row>
    <row r="3" spans="1:14" ht="52.8" x14ac:dyDescent="0.3">
      <c r="A3" s="49" t="s">
        <v>112</v>
      </c>
      <c r="B3" s="86" t="s">
        <v>113</v>
      </c>
      <c r="C3" s="86"/>
      <c r="D3" s="86"/>
      <c r="E3" s="86"/>
      <c r="F3" s="86"/>
      <c r="G3" s="50" t="s">
        <v>123</v>
      </c>
      <c r="H3" s="50" t="s">
        <v>125</v>
      </c>
      <c r="I3" s="50" t="s">
        <v>124</v>
      </c>
      <c r="J3" s="50" t="s">
        <v>126</v>
      </c>
      <c r="K3" s="50" t="s">
        <v>127</v>
      </c>
      <c r="L3" s="50" t="s">
        <v>196</v>
      </c>
    </row>
    <row r="4" spans="1:14" ht="14.55" customHeight="1" x14ac:dyDescent="0.3">
      <c r="A4" s="33" t="s">
        <v>114</v>
      </c>
      <c r="B4" s="81" t="s">
        <v>154</v>
      </c>
      <c r="C4" s="81"/>
      <c r="D4" s="81"/>
      <c r="E4" s="81"/>
      <c r="F4" s="81"/>
      <c r="G4" s="33">
        <v>2</v>
      </c>
      <c r="H4" s="35">
        <f>'Agente de Portaria'!D95</f>
        <v>3618.84</v>
      </c>
      <c r="I4" s="3">
        <v>1</v>
      </c>
      <c r="J4" s="35">
        <f>ROUND(G4*H4*I4,2)</f>
        <v>7237.68</v>
      </c>
      <c r="K4" s="35">
        <f>ROUND(J4*12,2)</f>
        <v>86852.160000000003</v>
      </c>
      <c r="L4" s="35">
        <f>ROUND(K4*2,2)</f>
        <v>173704.32000000001</v>
      </c>
    </row>
    <row r="5" spans="1:14" x14ac:dyDescent="0.3">
      <c r="A5" s="82" t="s">
        <v>202</v>
      </c>
      <c r="B5" s="82"/>
      <c r="C5" s="82"/>
      <c r="D5" s="82"/>
      <c r="E5" s="82"/>
      <c r="F5" s="82"/>
      <c r="G5" s="51">
        <f>SUM(G4:G4)</f>
        <v>2</v>
      </c>
      <c r="H5" s="52">
        <f>ROUND(SUM(H4:H4),2)</f>
        <v>3618.84</v>
      </c>
      <c r="I5" s="51">
        <f>SUM(I4:I4)</f>
        <v>1</v>
      </c>
      <c r="J5" s="52">
        <f>ROUND(SUM(J4:J4),2)</f>
        <v>7237.68</v>
      </c>
      <c r="K5" s="52">
        <f>ROUND(SUM(K4:K4),2)</f>
        <v>86852.160000000003</v>
      </c>
      <c r="L5" s="52">
        <f>ROUND(SUM(L4:L4),2)</f>
        <v>173704.32000000001</v>
      </c>
    </row>
    <row r="6" spans="1:14" ht="4.95" customHeight="1" x14ac:dyDescent="0.3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4" ht="39.6" x14ac:dyDescent="0.3">
      <c r="A7" s="48" t="s">
        <v>155</v>
      </c>
      <c r="B7" s="87" t="s">
        <v>156</v>
      </c>
      <c r="C7" s="88"/>
      <c r="D7" s="88"/>
      <c r="E7" s="88"/>
      <c r="F7" s="88"/>
      <c r="G7" s="88"/>
      <c r="H7" s="88"/>
      <c r="I7" s="89"/>
      <c r="J7" s="50" t="s">
        <v>197</v>
      </c>
      <c r="K7" s="50" t="s">
        <v>198</v>
      </c>
      <c r="L7" s="50" t="s">
        <v>199</v>
      </c>
    </row>
    <row r="8" spans="1:14" x14ac:dyDescent="0.3">
      <c r="A8" s="32" t="s">
        <v>158</v>
      </c>
      <c r="B8" s="90" t="s">
        <v>157</v>
      </c>
      <c r="C8" s="91"/>
      <c r="D8" s="91"/>
      <c r="E8" s="91"/>
      <c r="F8" s="91"/>
      <c r="G8" s="91"/>
      <c r="H8" s="91"/>
      <c r="I8" s="92"/>
      <c r="J8" s="45">
        <f>'Previsão de Horas-Extras'!E12</f>
        <v>182.2</v>
      </c>
      <c r="K8" s="45">
        <f>ROUND(J8*12,2)</f>
        <v>2186.4</v>
      </c>
      <c r="L8" s="45">
        <f>ROUND(K8*2,2)</f>
        <v>4372.8</v>
      </c>
    </row>
    <row r="9" spans="1:14" x14ac:dyDescent="0.3">
      <c r="A9" s="93" t="s">
        <v>203</v>
      </c>
      <c r="B9" s="94"/>
      <c r="C9" s="94"/>
      <c r="D9" s="94"/>
      <c r="E9" s="94"/>
      <c r="F9" s="94"/>
      <c r="G9" s="94"/>
      <c r="H9" s="94"/>
      <c r="I9" s="95"/>
      <c r="J9" s="52">
        <f>ROUND(SUM(J8),2)</f>
        <v>182.2</v>
      </c>
      <c r="K9" s="52">
        <f>ROUND(SUM(K8),2)</f>
        <v>2186.4</v>
      </c>
      <c r="L9" s="52">
        <f>ROUND(SUM(L8),2)</f>
        <v>4372.8</v>
      </c>
    </row>
    <row r="10" spans="1:14" ht="13.05" customHeight="1" x14ac:dyDescent="0.3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4" x14ac:dyDescent="0.3">
      <c r="A11" s="82" t="s">
        <v>204</v>
      </c>
      <c r="B11" s="82"/>
      <c r="C11" s="82"/>
      <c r="D11" s="82"/>
      <c r="E11" s="82"/>
      <c r="F11" s="82"/>
      <c r="G11" s="82"/>
      <c r="H11" s="82"/>
      <c r="I11" s="82"/>
      <c r="J11" s="83">
        <f>ROUND(J5+J9,2)</f>
        <v>7419.88</v>
      </c>
      <c r="K11" s="83"/>
      <c r="L11" s="84"/>
    </row>
    <row r="12" spans="1:14" x14ac:dyDescent="0.3">
      <c r="A12" s="82" t="s">
        <v>193</v>
      </c>
      <c r="B12" s="82"/>
      <c r="C12" s="82"/>
      <c r="D12" s="82"/>
      <c r="E12" s="82"/>
      <c r="F12" s="82"/>
      <c r="G12" s="82"/>
      <c r="H12" s="82"/>
      <c r="I12" s="82"/>
      <c r="J12" s="83">
        <f>ROUND(J11*12,2)</f>
        <v>89038.56</v>
      </c>
      <c r="K12" s="83"/>
      <c r="L12" s="84"/>
      <c r="N12" s="27"/>
    </row>
    <row r="13" spans="1:14" x14ac:dyDescent="0.3">
      <c r="A13" s="82" t="s">
        <v>200</v>
      </c>
      <c r="B13" s="82"/>
      <c r="C13" s="82"/>
      <c r="D13" s="82"/>
      <c r="E13" s="82"/>
      <c r="F13" s="82"/>
      <c r="G13" s="82"/>
      <c r="H13" s="82"/>
      <c r="I13" s="82"/>
      <c r="J13" s="83">
        <f>ROUND(J12*2,2)</f>
        <v>178077.12</v>
      </c>
      <c r="K13" s="83"/>
      <c r="L13" s="84"/>
      <c r="N13" s="27"/>
    </row>
    <row r="14" spans="1:14" x14ac:dyDescent="0.3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4" x14ac:dyDescent="0.3">
      <c r="A15" s="44"/>
      <c r="B15" s="44"/>
      <c r="C15" s="44"/>
      <c r="D15" s="44"/>
      <c r="E15" s="44"/>
      <c r="F15" s="44"/>
      <c r="G15" s="44"/>
      <c r="H15" s="98">
        <v>44245</v>
      </c>
      <c r="I15" s="98"/>
      <c r="J15" s="98"/>
      <c r="K15" s="98"/>
      <c r="L15" s="98"/>
    </row>
    <row r="16" spans="1:14" x14ac:dyDescent="0.3">
      <c r="A16" s="44"/>
      <c r="B16" s="44"/>
      <c r="C16" s="44"/>
      <c r="D16" s="44"/>
      <c r="E16" s="44"/>
      <c r="F16" s="44"/>
      <c r="G16" s="44"/>
      <c r="H16" s="98"/>
      <c r="I16" s="98"/>
      <c r="J16" s="98"/>
      <c r="K16" s="98"/>
      <c r="L16" s="98"/>
    </row>
    <row r="17" spans="1:12" x14ac:dyDescent="0.3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x14ac:dyDescent="0.3">
      <c r="A18" s="99" t="s">
        <v>135</v>
      </c>
      <c r="B18" s="99"/>
      <c r="C18" s="99"/>
      <c r="D18" s="100"/>
      <c r="E18" s="101"/>
      <c r="F18" s="101"/>
      <c r="G18" s="101"/>
      <c r="H18" s="44"/>
      <c r="I18" s="44"/>
      <c r="J18" s="44"/>
      <c r="K18" s="44"/>
      <c r="L18" s="44"/>
    </row>
    <row r="19" spans="1:12" ht="47.55" customHeight="1" x14ac:dyDescent="0.3">
      <c r="A19" s="44"/>
      <c r="B19" s="44"/>
      <c r="C19" s="44"/>
      <c r="D19" s="96" t="s">
        <v>215</v>
      </c>
      <c r="E19" s="97"/>
      <c r="F19" s="97"/>
      <c r="G19" s="97"/>
      <c r="H19" s="44"/>
      <c r="I19" s="44"/>
      <c r="J19" s="44"/>
      <c r="K19" s="44"/>
      <c r="L19" s="44"/>
    </row>
  </sheetData>
  <mergeCells count="20">
    <mergeCell ref="D19:G19"/>
    <mergeCell ref="H15:L16"/>
    <mergeCell ref="A18:C18"/>
    <mergeCell ref="D18:G18"/>
    <mergeCell ref="A12:I12"/>
    <mergeCell ref="J12:L12"/>
    <mergeCell ref="A13:I13"/>
    <mergeCell ref="J13:L13"/>
    <mergeCell ref="A6:L6"/>
    <mergeCell ref="A10:L10"/>
    <mergeCell ref="A11:I11"/>
    <mergeCell ref="J11:L11"/>
    <mergeCell ref="A1:L1"/>
    <mergeCell ref="B3:F3"/>
    <mergeCell ref="B4:F4"/>
    <mergeCell ref="A5:F5"/>
    <mergeCell ref="B2:L2"/>
    <mergeCell ref="B8:I8"/>
    <mergeCell ref="B7:I7"/>
    <mergeCell ref="A9:I9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fitToHeight="0" orientation="landscape" r:id="rId1"/>
  <headerFooter>
    <oddFooter>&amp;C&amp;"Arial,Normal"&amp;8Página &amp;P de &amp;N</oddFooter>
  </headerFooter>
  <ignoredErrors>
    <ignoredError sqref="H5:I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05"/>
  <sheetViews>
    <sheetView view="pageBreakPreview" topLeftCell="A94" zoomScaleNormal="100" zoomScaleSheetLayoutView="100" workbookViewId="0">
      <selection activeCell="E24" sqref="E24:J24"/>
    </sheetView>
  </sheetViews>
  <sheetFormatPr defaultRowHeight="14.4" x14ac:dyDescent="0.3"/>
  <cols>
    <col min="1" max="1" width="33.44140625" customWidth="1"/>
    <col min="2" max="2" width="14.5546875" customWidth="1"/>
    <col min="3" max="3" width="10.77734375" customWidth="1"/>
    <col min="4" max="4" width="12.21875" customWidth="1"/>
  </cols>
  <sheetData>
    <row r="1" spans="1:17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x14ac:dyDescent="0.3">
      <c r="A2" s="53" t="s">
        <v>2</v>
      </c>
      <c r="B2" s="104" t="s">
        <v>159</v>
      </c>
      <c r="C2" s="104"/>
      <c r="D2" s="104"/>
      <c r="E2" s="104"/>
      <c r="F2" s="7"/>
      <c r="G2" s="102" t="s">
        <v>78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15" customHeight="1" x14ac:dyDescent="0.3">
      <c r="A3" s="53" t="s">
        <v>100</v>
      </c>
      <c r="B3" s="138" t="s">
        <v>160</v>
      </c>
      <c r="C3" s="138"/>
      <c r="D3" s="138"/>
      <c r="E3" s="138"/>
      <c r="F3" s="7"/>
      <c r="G3" s="145" t="s">
        <v>211</v>
      </c>
      <c r="H3" s="146"/>
      <c r="I3" s="146"/>
      <c r="J3" s="146"/>
      <c r="K3" s="146"/>
      <c r="L3" s="146"/>
      <c r="M3" s="146"/>
      <c r="N3" s="146"/>
      <c r="O3" s="146"/>
      <c r="P3" s="146"/>
      <c r="Q3" s="147"/>
    </row>
    <row r="4" spans="1:17" ht="15" customHeight="1" x14ac:dyDescent="0.3">
      <c r="A4" s="54" t="s">
        <v>1</v>
      </c>
      <c r="B4" s="104" t="s">
        <v>136</v>
      </c>
      <c r="C4" s="104"/>
      <c r="D4" s="104"/>
      <c r="E4" s="104"/>
      <c r="F4" s="7"/>
      <c r="G4" s="148"/>
      <c r="H4" s="149"/>
      <c r="I4" s="149"/>
      <c r="J4" s="149"/>
      <c r="K4" s="149"/>
      <c r="L4" s="149"/>
      <c r="M4" s="149"/>
      <c r="N4" s="149"/>
      <c r="O4" s="149"/>
      <c r="P4" s="149"/>
      <c r="Q4" s="150"/>
    </row>
    <row r="5" spans="1:17" ht="26.4" x14ac:dyDescent="0.3">
      <c r="A5" s="54" t="s">
        <v>3</v>
      </c>
      <c r="B5" s="138">
        <v>1</v>
      </c>
      <c r="C5" s="138"/>
      <c r="D5" s="138"/>
      <c r="E5" s="138"/>
      <c r="F5" s="7"/>
      <c r="G5" s="148"/>
      <c r="H5" s="149"/>
      <c r="I5" s="149"/>
      <c r="J5" s="149"/>
      <c r="K5" s="149"/>
      <c r="L5" s="149"/>
      <c r="M5" s="149"/>
      <c r="N5" s="149"/>
      <c r="O5" s="149"/>
      <c r="P5" s="149"/>
      <c r="Q5" s="150"/>
    </row>
    <row r="6" spans="1:17" ht="65.55" customHeight="1" x14ac:dyDescent="0.3">
      <c r="A6" s="54" t="s">
        <v>101</v>
      </c>
      <c r="B6" s="104" t="s">
        <v>207</v>
      </c>
      <c r="C6" s="104"/>
      <c r="D6" s="104"/>
      <c r="E6" s="104"/>
      <c r="F6" s="7"/>
      <c r="G6" s="148"/>
      <c r="H6" s="149"/>
      <c r="I6" s="149"/>
      <c r="J6" s="149"/>
      <c r="K6" s="149"/>
      <c r="L6" s="149"/>
      <c r="M6" s="149"/>
      <c r="N6" s="149"/>
      <c r="O6" s="149"/>
      <c r="P6" s="149"/>
      <c r="Q6" s="150"/>
    </row>
    <row r="7" spans="1:17" ht="21" customHeight="1" x14ac:dyDescent="0.3">
      <c r="A7" s="5"/>
      <c r="B7" s="6"/>
      <c r="C7" s="7"/>
      <c r="D7" s="7"/>
      <c r="E7" s="7"/>
      <c r="F7" s="7"/>
      <c r="G7" s="151"/>
      <c r="H7" s="152"/>
      <c r="I7" s="152"/>
      <c r="J7" s="152"/>
      <c r="K7" s="152"/>
      <c r="L7" s="152"/>
      <c r="M7" s="152"/>
      <c r="N7" s="152"/>
      <c r="O7" s="152"/>
      <c r="P7" s="152"/>
      <c r="Q7" s="153"/>
    </row>
    <row r="8" spans="1:17" x14ac:dyDescent="0.3">
      <c r="A8" s="8"/>
      <c r="B8" s="8"/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3">
      <c r="A9" s="154" t="s">
        <v>4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</row>
    <row r="10" spans="1:17" x14ac:dyDescent="0.3">
      <c r="A10" s="155" t="s">
        <v>139</v>
      </c>
      <c r="B10" s="156"/>
      <c r="C10" s="156"/>
      <c r="D10" s="157"/>
      <c r="E10" s="158" t="s">
        <v>19</v>
      </c>
      <c r="F10" s="158"/>
      <c r="G10" s="158"/>
      <c r="H10" s="158"/>
      <c r="I10" s="158"/>
      <c r="J10" s="158"/>
      <c r="K10" s="102" t="s">
        <v>47</v>
      </c>
      <c r="L10" s="102"/>
      <c r="M10" s="102"/>
      <c r="N10" s="102"/>
      <c r="O10" s="102"/>
      <c r="P10" s="102"/>
      <c r="Q10" s="102"/>
    </row>
    <row r="11" spans="1:17" x14ac:dyDescent="0.3">
      <c r="A11" s="159" t="s">
        <v>5</v>
      </c>
      <c r="B11" s="160"/>
      <c r="C11" s="50" t="s">
        <v>6</v>
      </c>
      <c r="D11" s="50" t="s">
        <v>7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</row>
    <row r="12" spans="1:17" ht="40.5" customHeight="1" x14ac:dyDescent="0.3">
      <c r="A12" s="127" t="s">
        <v>8</v>
      </c>
      <c r="B12" s="128"/>
      <c r="C12" s="2" t="s">
        <v>90</v>
      </c>
      <c r="D12" s="9">
        <v>1200</v>
      </c>
      <c r="E12" s="138" t="s">
        <v>207</v>
      </c>
      <c r="F12" s="138"/>
      <c r="G12" s="138"/>
      <c r="H12" s="138"/>
      <c r="I12" s="138"/>
      <c r="J12" s="138"/>
      <c r="K12" s="104"/>
      <c r="L12" s="104"/>
      <c r="M12" s="104"/>
      <c r="N12" s="104"/>
      <c r="O12" s="104"/>
      <c r="P12" s="104"/>
      <c r="Q12" s="104"/>
    </row>
    <row r="13" spans="1:17" ht="15" customHeight="1" x14ac:dyDescent="0.3">
      <c r="A13" s="112" t="s">
        <v>115</v>
      </c>
      <c r="B13" s="114"/>
      <c r="C13" s="72"/>
      <c r="D13" s="62">
        <f>C13*D12/100</f>
        <v>0</v>
      </c>
      <c r="E13" s="138" t="s">
        <v>90</v>
      </c>
      <c r="F13" s="138"/>
      <c r="G13" s="138"/>
      <c r="H13" s="138"/>
      <c r="I13" s="138"/>
      <c r="J13" s="138"/>
      <c r="K13" s="104"/>
      <c r="L13" s="104"/>
      <c r="M13" s="104"/>
      <c r="N13" s="104"/>
      <c r="O13" s="104"/>
      <c r="P13" s="104"/>
      <c r="Q13" s="104"/>
    </row>
    <row r="14" spans="1:17" x14ac:dyDescent="0.3">
      <c r="A14" s="137" t="s">
        <v>30</v>
      </c>
      <c r="B14" s="137"/>
      <c r="C14" s="137"/>
      <c r="D14" s="59">
        <f>ROUND(SUM(D12:D13),2)</f>
        <v>1200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102" t="s">
        <v>140</v>
      </c>
      <c r="B16" s="102"/>
      <c r="C16" s="102"/>
      <c r="D16" s="102"/>
      <c r="E16" s="161" t="s">
        <v>19</v>
      </c>
      <c r="F16" s="162"/>
      <c r="G16" s="162"/>
      <c r="H16" s="162"/>
      <c r="I16" s="162"/>
      <c r="J16" s="163"/>
      <c r="K16" s="7"/>
      <c r="L16" s="7"/>
      <c r="M16" s="7"/>
      <c r="N16" s="7"/>
      <c r="O16" s="7"/>
      <c r="P16" s="7"/>
      <c r="Q16" s="7"/>
    </row>
    <row r="17" spans="1:17" x14ac:dyDescent="0.3">
      <c r="A17" s="102" t="s">
        <v>20</v>
      </c>
      <c r="B17" s="102"/>
      <c r="C17" s="50" t="s">
        <v>6</v>
      </c>
      <c r="D17" s="50" t="s">
        <v>7</v>
      </c>
      <c r="E17" s="155"/>
      <c r="F17" s="156"/>
      <c r="G17" s="156"/>
      <c r="H17" s="156"/>
      <c r="I17" s="156"/>
      <c r="J17" s="157"/>
      <c r="K17" s="7"/>
      <c r="L17" s="7"/>
      <c r="M17" s="7"/>
      <c r="N17" s="7"/>
      <c r="O17" s="7"/>
      <c r="P17" s="7"/>
      <c r="Q17" s="7"/>
    </row>
    <row r="18" spans="1:17" x14ac:dyDescent="0.3">
      <c r="A18" s="127" t="s">
        <v>21</v>
      </c>
      <c r="B18" s="128"/>
      <c r="C18" s="19">
        <v>0.2</v>
      </c>
      <c r="D18" s="10">
        <f>ROUND($D$14*C18,2)</f>
        <v>240</v>
      </c>
      <c r="E18" s="138" t="s">
        <v>10</v>
      </c>
      <c r="F18" s="138"/>
      <c r="G18" s="138"/>
      <c r="H18" s="138"/>
      <c r="I18" s="138"/>
      <c r="J18" s="138"/>
      <c r="K18" s="7"/>
      <c r="L18" s="7"/>
      <c r="M18" s="7"/>
      <c r="N18" s="7"/>
      <c r="O18" s="7"/>
      <c r="P18" s="7"/>
      <c r="Q18" s="7"/>
    </row>
    <row r="19" spans="1:17" x14ac:dyDescent="0.3">
      <c r="A19" s="115" t="s">
        <v>22</v>
      </c>
      <c r="B19" s="117"/>
      <c r="C19" s="71">
        <v>0.08</v>
      </c>
      <c r="D19" s="62">
        <f t="shared" ref="D19:D25" si="0">ROUND($D$14*C19,2)</f>
        <v>96</v>
      </c>
      <c r="E19" s="138" t="s">
        <v>11</v>
      </c>
      <c r="F19" s="138"/>
      <c r="G19" s="138"/>
      <c r="H19" s="138"/>
      <c r="I19" s="138"/>
      <c r="J19" s="138"/>
      <c r="K19" s="7"/>
      <c r="L19" s="7"/>
      <c r="M19" s="7"/>
      <c r="N19" s="7"/>
      <c r="O19" s="7"/>
      <c r="P19" s="7"/>
      <c r="Q19" s="7"/>
    </row>
    <row r="20" spans="1:17" x14ac:dyDescent="0.3">
      <c r="A20" s="127" t="s">
        <v>23</v>
      </c>
      <c r="B20" s="128"/>
      <c r="C20" s="19">
        <v>1.4999999999999999E-2</v>
      </c>
      <c r="D20" s="10">
        <f t="shared" si="0"/>
        <v>18</v>
      </c>
      <c r="E20" s="138" t="s">
        <v>12</v>
      </c>
      <c r="F20" s="138"/>
      <c r="G20" s="138"/>
      <c r="H20" s="138"/>
      <c r="I20" s="138"/>
      <c r="J20" s="138"/>
      <c r="K20" s="7"/>
      <c r="L20" s="7"/>
      <c r="M20" s="7"/>
      <c r="N20" s="7"/>
      <c r="O20" s="7"/>
      <c r="P20" s="7"/>
      <c r="Q20" s="7"/>
    </row>
    <row r="21" spans="1:17" ht="25.5" customHeight="1" x14ac:dyDescent="0.3">
      <c r="A21" s="115" t="s">
        <v>24</v>
      </c>
      <c r="B21" s="117"/>
      <c r="C21" s="71">
        <v>0.01</v>
      </c>
      <c r="D21" s="62">
        <f t="shared" si="0"/>
        <v>12</v>
      </c>
      <c r="E21" s="138" t="s">
        <v>13</v>
      </c>
      <c r="F21" s="138"/>
      <c r="G21" s="138"/>
      <c r="H21" s="138"/>
      <c r="I21" s="138"/>
      <c r="J21" s="138"/>
      <c r="K21" s="7"/>
      <c r="L21" s="7"/>
      <c r="M21" s="7"/>
      <c r="N21" s="7"/>
      <c r="O21" s="7"/>
      <c r="P21" s="7"/>
      <c r="Q21" s="7"/>
    </row>
    <row r="22" spans="1:17" ht="28.5" customHeight="1" x14ac:dyDescent="0.3">
      <c r="A22" s="127" t="s">
        <v>25</v>
      </c>
      <c r="B22" s="128"/>
      <c r="C22" s="19">
        <v>2E-3</v>
      </c>
      <c r="D22" s="10">
        <f t="shared" si="0"/>
        <v>2.4</v>
      </c>
      <c r="E22" s="138" t="s">
        <v>14</v>
      </c>
      <c r="F22" s="138"/>
      <c r="G22" s="138"/>
      <c r="H22" s="138"/>
      <c r="I22" s="138"/>
      <c r="J22" s="138"/>
      <c r="K22" s="7"/>
      <c r="L22" s="7"/>
      <c r="M22" s="7"/>
      <c r="N22" s="7"/>
      <c r="O22" s="7"/>
      <c r="P22" s="7"/>
      <c r="Q22" s="7"/>
    </row>
    <row r="23" spans="1:17" x14ac:dyDescent="0.3">
      <c r="A23" s="115" t="s">
        <v>26</v>
      </c>
      <c r="B23" s="117"/>
      <c r="C23" s="71">
        <v>6.0000000000000001E-3</v>
      </c>
      <c r="D23" s="62">
        <f t="shared" si="0"/>
        <v>7.2</v>
      </c>
      <c r="E23" s="138" t="s">
        <v>15</v>
      </c>
      <c r="F23" s="138"/>
      <c r="G23" s="138"/>
      <c r="H23" s="138"/>
      <c r="I23" s="138"/>
      <c r="J23" s="138"/>
      <c r="K23" s="7"/>
      <c r="L23" s="7"/>
      <c r="M23" s="7"/>
      <c r="N23" s="7"/>
      <c r="O23" s="7"/>
      <c r="P23" s="7"/>
      <c r="Q23" s="7"/>
    </row>
    <row r="24" spans="1:17" x14ac:dyDescent="0.3">
      <c r="A24" s="142" t="s">
        <v>27</v>
      </c>
      <c r="B24" s="143"/>
      <c r="C24" s="19">
        <v>2.5000000000000001E-2</v>
      </c>
      <c r="D24" s="10">
        <f t="shared" si="0"/>
        <v>30</v>
      </c>
      <c r="E24" s="138" t="s">
        <v>16</v>
      </c>
      <c r="F24" s="138"/>
      <c r="G24" s="138"/>
      <c r="H24" s="138"/>
      <c r="I24" s="138"/>
      <c r="J24" s="138"/>
      <c r="K24" s="7"/>
      <c r="L24" s="7"/>
      <c r="M24" s="7"/>
      <c r="N24" s="7"/>
      <c r="O24" s="7"/>
      <c r="P24" s="7"/>
      <c r="Q24" s="7"/>
    </row>
    <row r="25" spans="1:17" ht="39.75" customHeight="1" x14ac:dyDescent="0.3">
      <c r="A25" s="112" t="s">
        <v>28</v>
      </c>
      <c r="B25" s="114"/>
      <c r="C25" s="68">
        <v>0.06</v>
      </c>
      <c r="D25" s="62">
        <f t="shared" si="0"/>
        <v>72</v>
      </c>
      <c r="E25" s="138" t="s">
        <v>162</v>
      </c>
      <c r="F25" s="138"/>
      <c r="G25" s="138"/>
      <c r="H25" s="138"/>
      <c r="I25" s="138"/>
      <c r="J25" s="138"/>
      <c r="K25" s="7"/>
      <c r="L25" s="7"/>
      <c r="M25" s="7"/>
      <c r="N25" s="7"/>
      <c r="O25" s="7"/>
      <c r="P25" s="7"/>
      <c r="Q25" s="7"/>
    </row>
    <row r="26" spans="1:17" x14ac:dyDescent="0.3">
      <c r="A26" s="121" t="s">
        <v>29</v>
      </c>
      <c r="B26" s="122"/>
      <c r="C26" s="60">
        <f>ROUND(SUM(C18:C25),5)</f>
        <v>0.39800000000000002</v>
      </c>
      <c r="D26" s="59">
        <f>ROUND(SUM(D18:D25),2)</f>
        <v>477.6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11"/>
      <c r="B27" s="11"/>
      <c r="C27" s="12"/>
      <c r="D27" s="13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102" t="s">
        <v>31</v>
      </c>
      <c r="B28" s="102"/>
      <c r="C28" s="50" t="s">
        <v>6</v>
      </c>
      <c r="D28" s="50" t="s">
        <v>7</v>
      </c>
      <c r="E28" s="102" t="s">
        <v>19</v>
      </c>
      <c r="F28" s="102"/>
      <c r="G28" s="102"/>
      <c r="H28" s="102"/>
      <c r="I28" s="102"/>
      <c r="J28" s="102"/>
      <c r="K28" s="102" t="s">
        <v>47</v>
      </c>
      <c r="L28" s="102"/>
      <c r="M28" s="102"/>
      <c r="N28" s="102"/>
      <c r="O28" s="102"/>
      <c r="P28" s="102"/>
      <c r="Q28" s="102"/>
    </row>
    <row r="29" spans="1:17" ht="35.1" customHeight="1" x14ac:dyDescent="0.3">
      <c r="A29" s="142" t="s">
        <v>32</v>
      </c>
      <c r="B29" s="143"/>
      <c r="C29" s="17">
        <f>ROUND(1/12,5)</f>
        <v>8.3330000000000001E-2</v>
      </c>
      <c r="D29" s="10">
        <f>ROUND($D$14*C29,2)</f>
        <v>100</v>
      </c>
      <c r="E29" s="138" t="s">
        <v>17</v>
      </c>
      <c r="F29" s="138"/>
      <c r="G29" s="138"/>
      <c r="H29" s="138"/>
      <c r="I29" s="138"/>
      <c r="J29" s="138"/>
      <c r="K29" s="103" t="s">
        <v>119</v>
      </c>
      <c r="L29" s="103"/>
      <c r="M29" s="103"/>
      <c r="N29" s="103"/>
      <c r="O29" s="103"/>
      <c r="P29" s="103"/>
      <c r="Q29" s="103"/>
    </row>
    <row r="30" spans="1:17" ht="35.1" customHeight="1" x14ac:dyDescent="0.3">
      <c r="A30" s="115" t="s">
        <v>33</v>
      </c>
      <c r="B30" s="117"/>
      <c r="C30" s="70">
        <f>ROUND((1/12),5)</f>
        <v>8.3330000000000001E-2</v>
      </c>
      <c r="D30" s="62">
        <f t="shared" ref="D30:D36" si="1">ROUND($D$14*C30,2)</f>
        <v>100</v>
      </c>
      <c r="E30" s="139" t="s">
        <v>18</v>
      </c>
      <c r="F30" s="140"/>
      <c r="G30" s="140"/>
      <c r="H30" s="140"/>
      <c r="I30" s="140"/>
      <c r="J30" s="141"/>
      <c r="K30" s="103"/>
      <c r="L30" s="103"/>
      <c r="M30" s="103"/>
      <c r="N30" s="103"/>
      <c r="O30" s="103"/>
      <c r="P30" s="103"/>
      <c r="Q30" s="103"/>
    </row>
    <row r="31" spans="1:17" ht="35.1" customHeight="1" x14ac:dyDescent="0.3">
      <c r="A31" s="127" t="s">
        <v>34</v>
      </c>
      <c r="B31" s="128"/>
      <c r="C31" s="18">
        <f>ROUND((((100% / 30) * 7) / 12),5)</f>
        <v>1.9439999999999999E-2</v>
      </c>
      <c r="D31" s="10">
        <f t="shared" si="1"/>
        <v>23.33</v>
      </c>
      <c r="E31" s="139" t="s">
        <v>41</v>
      </c>
      <c r="F31" s="140"/>
      <c r="G31" s="140"/>
      <c r="H31" s="140"/>
      <c r="I31" s="140"/>
      <c r="J31" s="141"/>
      <c r="K31" s="103"/>
      <c r="L31" s="103"/>
      <c r="M31" s="103"/>
      <c r="N31" s="103"/>
      <c r="O31" s="103"/>
      <c r="P31" s="103"/>
      <c r="Q31" s="103"/>
    </row>
    <row r="32" spans="1:17" ht="39.6" customHeight="1" x14ac:dyDescent="0.3">
      <c r="A32" s="115" t="s">
        <v>35</v>
      </c>
      <c r="B32" s="117"/>
      <c r="C32" s="70">
        <f>ROUND((1462463/54796761)/12,5)</f>
        <v>2.2200000000000002E-3</v>
      </c>
      <c r="D32" s="62">
        <f t="shared" si="1"/>
        <v>2.66</v>
      </c>
      <c r="E32" s="139" t="s">
        <v>42</v>
      </c>
      <c r="F32" s="140"/>
      <c r="G32" s="140"/>
      <c r="H32" s="140"/>
      <c r="I32" s="140"/>
      <c r="J32" s="141"/>
      <c r="K32" s="103"/>
      <c r="L32" s="103"/>
      <c r="M32" s="103"/>
      <c r="N32" s="103"/>
      <c r="O32" s="103"/>
      <c r="P32" s="103"/>
      <c r="Q32" s="103"/>
    </row>
    <row r="33" spans="1:17" ht="35.1" customHeight="1" x14ac:dyDescent="0.3">
      <c r="A33" s="127" t="s">
        <v>36</v>
      </c>
      <c r="B33" s="128"/>
      <c r="C33" s="18">
        <f>ROUND((((100% /30) * 15) / 12) * 1.22%,5)</f>
        <v>5.1000000000000004E-4</v>
      </c>
      <c r="D33" s="10">
        <f t="shared" si="1"/>
        <v>0.61</v>
      </c>
      <c r="E33" s="139" t="s">
        <v>43</v>
      </c>
      <c r="F33" s="140"/>
      <c r="G33" s="140"/>
      <c r="H33" s="140"/>
      <c r="I33" s="140"/>
      <c r="J33" s="141"/>
      <c r="K33" s="103"/>
      <c r="L33" s="103"/>
      <c r="M33" s="103"/>
      <c r="N33" s="103"/>
      <c r="O33" s="103"/>
      <c r="P33" s="103"/>
      <c r="Q33" s="103"/>
    </row>
    <row r="34" spans="1:17" ht="35.1" customHeight="1" x14ac:dyDescent="0.3">
      <c r="A34" s="115" t="s">
        <v>37</v>
      </c>
      <c r="B34" s="117"/>
      <c r="C34" s="70">
        <f>ROUND(((100%/30)*1.4947)/12,5)</f>
        <v>4.15E-3</v>
      </c>
      <c r="D34" s="62">
        <f t="shared" si="1"/>
        <v>4.9800000000000004</v>
      </c>
      <c r="E34" s="139" t="s">
        <v>44</v>
      </c>
      <c r="F34" s="140"/>
      <c r="G34" s="140"/>
      <c r="H34" s="140"/>
      <c r="I34" s="140"/>
      <c r="J34" s="141"/>
      <c r="K34" s="103"/>
      <c r="L34" s="103"/>
      <c r="M34" s="103"/>
      <c r="N34" s="103"/>
      <c r="O34" s="103"/>
      <c r="P34" s="103"/>
      <c r="Q34" s="103"/>
    </row>
    <row r="35" spans="1:17" ht="35.1" customHeight="1" x14ac:dyDescent="0.3">
      <c r="A35" s="127" t="s">
        <v>38</v>
      </c>
      <c r="B35" s="128"/>
      <c r="C35" s="18">
        <f>ROUND((8.333%*1.416%*4/12),5)</f>
        <v>3.8999999999999999E-4</v>
      </c>
      <c r="D35" s="10">
        <f t="shared" si="1"/>
        <v>0.47</v>
      </c>
      <c r="E35" s="139" t="s">
        <v>45</v>
      </c>
      <c r="F35" s="140"/>
      <c r="G35" s="140"/>
      <c r="H35" s="140"/>
      <c r="I35" s="140"/>
      <c r="J35" s="141"/>
      <c r="K35" s="103"/>
      <c r="L35" s="103"/>
      <c r="M35" s="103"/>
      <c r="N35" s="103"/>
      <c r="O35" s="103"/>
      <c r="P35" s="103"/>
      <c r="Q35" s="103"/>
    </row>
    <row r="36" spans="1:17" ht="35.1" customHeight="1" x14ac:dyDescent="0.3">
      <c r="A36" s="115" t="s">
        <v>39</v>
      </c>
      <c r="B36" s="117"/>
      <c r="C36" s="70">
        <f>ROUND((((100%/30)*5)/12)*1.416%,5)</f>
        <v>2.0000000000000001E-4</v>
      </c>
      <c r="D36" s="62">
        <f t="shared" si="1"/>
        <v>0.24</v>
      </c>
      <c r="E36" s="139" t="s">
        <v>46</v>
      </c>
      <c r="F36" s="140"/>
      <c r="G36" s="140"/>
      <c r="H36" s="140"/>
      <c r="I36" s="140"/>
      <c r="J36" s="141"/>
      <c r="K36" s="103"/>
      <c r="L36" s="103"/>
      <c r="M36" s="103"/>
      <c r="N36" s="103"/>
      <c r="O36" s="103"/>
      <c r="P36" s="103"/>
      <c r="Q36" s="103"/>
    </row>
    <row r="37" spans="1:17" x14ac:dyDescent="0.3">
      <c r="A37" s="121" t="s">
        <v>40</v>
      </c>
      <c r="B37" s="122"/>
      <c r="C37" s="60">
        <f>ROUND(SUM(C29:C36),5)</f>
        <v>0.19356999999999999</v>
      </c>
      <c r="D37" s="59">
        <f>ROUND(SUM(D29:D36),2)</f>
        <v>232.29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3">
      <c r="A38" s="11"/>
      <c r="B38" s="11"/>
      <c r="C38" s="14"/>
      <c r="D38" s="13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3">
      <c r="A39" s="124" t="s">
        <v>48</v>
      </c>
      <c r="B39" s="126"/>
      <c r="C39" s="50" t="s">
        <v>6</v>
      </c>
      <c r="D39" s="50" t="s">
        <v>7</v>
      </c>
      <c r="E39" s="102" t="s">
        <v>19</v>
      </c>
      <c r="F39" s="102"/>
      <c r="G39" s="102"/>
      <c r="H39" s="102"/>
      <c r="I39" s="102"/>
      <c r="J39" s="102"/>
      <c r="K39" s="102" t="s">
        <v>47</v>
      </c>
      <c r="L39" s="102"/>
      <c r="M39" s="102"/>
      <c r="N39" s="102"/>
      <c r="O39" s="102"/>
      <c r="P39" s="102"/>
      <c r="Q39" s="102"/>
    </row>
    <row r="40" spans="1:17" ht="23.1" customHeight="1" x14ac:dyDescent="0.3">
      <c r="A40" s="127" t="s">
        <v>49</v>
      </c>
      <c r="B40" s="128"/>
      <c r="C40" s="21">
        <f>ROUND(1/12*5%,5)</f>
        <v>4.1700000000000001E-3</v>
      </c>
      <c r="D40" s="10">
        <f>ROUND($D$14*C40,2)</f>
        <v>5</v>
      </c>
      <c r="E40" s="138" t="s">
        <v>53</v>
      </c>
      <c r="F40" s="138"/>
      <c r="G40" s="138"/>
      <c r="H40" s="138"/>
      <c r="I40" s="138"/>
      <c r="J40" s="138"/>
      <c r="K40" s="103" t="s">
        <v>118</v>
      </c>
      <c r="L40" s="103"/>
      <c r="M40" s="103"/>
      <c r="N40" s="103"/>
      <c r="O40" s="103"/>
      <c r="P40" s="103"/>
      <c r="Q40" s="103"/>
    </row>
    <row r="41" spans="1:17" ht="23.1" customHeight="1" x14ac:dyDescent="0.3">
      <c r="A41" s="115" t="s">
        <v>50</v>
      </c>
      <c r="B41" s="117"/>
      <c r="C41" s="68">
        <f>ROUND(1/12*3.4275%,5)</f>
        <v>2.8600000000000001E-3</v>
      </c>
      <c r="D41" s="62">
        <f>ROUND($D$14*C41,2)</f>
        <v>3.43</v>
      </c>
      <c r="E41" s="138" t="s">
        <v>54</v>
      </c>
      <c r="F41" s="138"/>
      <c r="G41" s="138"/>
      <c r="H41" s="138"/>
      <c r="I41" s="138"/>
      <c r="J41" s="138"/>
      <c r="K41" s="103"/>
      <c r="L41" s="103"/>
      <c r="M41" s="103"/>
      <c r="N41" s="103"/>
      <c r="O41" s="103"/>
      <c r="P41" s="103"/>
      <c r="Q41" s="103"/>
    </row>
    <row r="42" spans="1:17" ht="23.1" customHeight="1" x14ac:dyDescent="0.3">
      <c r="A42" s="127" t="s">
        <v>51</v>
      </c>
      <c r="B42" s="128"/>
      <c r="C42" s="22">
        <f>ROUND(40%*8%,5)</f>
        <v>3.2000000000000001E-2</v>
      </c>
      <c r="D42" s="10">
        <f>ROUND($D$14*C42,2)</f>
        <v>38.4</v>
      </c>
      <c r="E42" s="138" t="s">
        <v>55</v>
      </c>
      <c r="F42" s="138"/>
      <c r="G42" s="138"/>
      <c r="H42" s="138"/>
      <c r="I42" s="138"/>
      <c r="J42" s="138"/>
      <c r="K42" s="103"/>
      <c r="L42" s="103"/>
      <c r="M42" s="103"/>
      <c r="N42" s="103"/>
      <c r="O42" s="103"/>
      <c r="P42" s="103"/>
      <c r="Q42" s="103"/>
    </row>
    <row r="43" spans="1:17" ht="23.1" customHeight="1" x14ac:dyDescent="0.3">
      <c r="A43" s="115" t="s">
        <v>116</v>
      </c>
      <c r="B43" s="117"/>
      <c r="C43" s="69">
        <f>ROUND(1/3*1/12,5)</f>
        <v>2.7779999999999999E-2</v>
      </c>
      <c r="D43" s="62">
        <f>ROUND($D$14*C43,2)</f>
        <v>33.340000000000003</v>
      </c>
      <c r="E43" s="138" t="s">
        <v>56</v>
      </c>
      <c r="F43" s="138"/>
      <c r="G43" s="138"/>
      <c r="H43" s="138"/>
      <c r="I43" s="138"/>
      <c r="J43" s="138"/>
      <c r="K43" s="103"/>
      <c r="L43" s="103"/>
      <c r="M43" s="103"/>
      <c r="N43" s="103"/>
      <c r="O43" s="103"/>
      <c r="P43" s="103"/>
      <c r="Q43" s="103"/>
    </row>
    <row r="44" spans="1:17" ht="23.1" customHeight="1" x14ac:dyDescent="0.3">
      <c r="A44" s="127" t="s">
        <v>117</v>
      </c>
      <c r="B44" s="128"/>
      <c r="C44" s="23">
        <f>ROUND(1/3*C35,5)</f>
        <v>1.2999999999999999E-4</v>
      </c>
      <c r="D44" s="10">
        <f>ROUND($D$14*C44,2)</f>
        <v>0.16</v>
      </c>
      <c r="E44" s="138" t="s">
        <v>57</v>
      </c>
      <c r="F44" s="138"/>
      <c r="G44" s="138"/>
      <c r="H44" s="138"/>
      <c r="I44" s="138"/>
      <c r="J44" s="138"/>
      <c r="K44" s="103"/>
      <c r="L44" s="103"/>
      <c r="M44" s="103"/>
      <c r="N44" s="103"/>
      <c r="O44" s="103"/>
      <c r="P44" s="103"/>
      <c r="Q44" s="103"/>
    </row>
    <row r="45" spans="1:17" x14ac:dyDescent="0.3">
      <c r="A45" s="121" t="s">
        <v>52</v>
      </c>
      <c r="B45" s="122"/>
      <c r="C45" s="60">
        <f>ROUND(SUM(C40:C44),5)</f>
        <v>6.694E-2</v>
      </c>
      <c r="D45" s="59">
        <f>ROUND(SUM(D40:D44),2)</f>
        <v>80.33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3">
      <c r="A46" s="11"/>
      <c r="B46" s="11"/>
      <c r="C46" s="14"/>
      <c r="D46" s="13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3">
      <c r="A47" s="124" t="s">
        <v>58</v>
      </c>
      <c r="B47" s="126"/>
      <c r="C47" s="50" t="s">
        <v>6</v>
      </c>
      <c r="D47" s="50" t="s">
        <v>7</v>
      </c>
      <c r="E47" s="102" t="s">
        <v>19</v>
      </c>
      <c r="F47" s="102"/>
      <c r="G47" s="102"/>
      <c r="H47" s="102"/>
      <c r="I47" s="102"/>
      <c r="J47" s="102"/>
      <c r="K47" s="7"/>
      <c r="L47" s="7"/>
      <c r="M47" s="7"/>
      <c r="N47" s="7"/>
      <c r="O47" s="7"/>
      <c r="P47" s="7"/>
      <c r="Q47" s="7"/>
    </row>
    <row r="48" spans="1:17" ht="14.55" customHeight="1" x14ac:dyDescent="0.3">
      <c r="A48" s="127" t="s">
        <v>59</v>
      </c>
      <c r="B48" s="128"/>
      <c r="C48" s="25">
        <f>ROUND(C26*C37,5)</f>
        <v>7.7039999999999997E-2</v>
      </c>
      <c r="D48" s="10">
        <f>ROUND($D$14*C48,2)</f>
        <v>92.45</v>
      </c>
      <c r="E48" s="138" t="s">
        <v>137</v>
      </c>
      <c r="F48" s="138"/>
      <c r="G48" s="138"/>
      <c r="H48" s="138"/>
      <c r="I48" s="138"/>
      <c r="J48" s="138"/>
      <c r="K48" s="7"/>
      <c r="L48" s="7"/>
      <c r="M48" s="7"/>
      <c r="N48" s="7"/>
      <c r="O48" s="7"/>
      <c r="P48" s="7"/>
      <c r="Q48" s="7"/>
    </row>
    <row r="49" spans="1:17" x14ac:dyDescent="0.3">
      <c r="A49" s="121" t="s">
        <v>60</v>
      </c>
      <c r="B49" s="122"/>
      <c r="C49" s="60">
        <f>ROUND(SUM(C48),5)</f>
        <v>7.7039999999999997E-2</v>
      </c>
      <c r="D49" s="59">
        <f>ROUND(SUM(D48),2)</f>
        <v>92.45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3">
      <c r="A50" s="11"/>
      <c r="B50" s="11"/>
      <c r="C50" s="14"/>
      <c r="D50" s="13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3">
      <c r="A51" s="124" t="s">
        <v>61</v>
      </c>
      <c r="B51" s="126"/>
      <c r="C51" s="50" t="s">
        <v>6</v>
      </c>
      <c r="D51" s="50" t="s">
        <v>7</v>
      </c>
      <c r="E51" s="102" t="s">
        <v>19</v>
      </c>
      <c r="F51" s="102"/>
      <c r="G51" s="102"/>
      <c r="H51" s="102"/>
      <c r="I51" s="102"/>
      <c r="J51" s="102"/>
      <c r="K51" s="102" t="s">
        <v>47</v>
      </c>
      <c r="L51" s="102"/>
      <c r="M51" s="102"/>
      <c r="N51" s="102"/>
      <c r="O51" s="102"/>
      <c r="P51" s="102"/>
      <c r="Q51" s="102"/>
    </row>
    <row r="52" spans="1:17" ht="28.5" customHeight="1" x14ac:dyDescent="0.3">
      <c r="A52" s="127" t="s">
        <v>62</v>
      </c>
      <c r="B52" s="128"/>
      <c r="C52" s="26">
        <f>ROUND(8%*C40,5)</f>
        <v>3.3E-4</v>
      </c>
      <c r="D52" s="10">
        <f>ROUND($D$14*C52,2)</f>
        <v>0.4</v>
      </c>
      <c r="E52" s="138" t="s">
        <v>66</v>
      </c>
      <c r="F52" s="138"/>
      <c r="G52" s="138"/>
      <c r="H52" s="138"/>
      <c r="I52" s="138"/>
      <c r="J52" s="138"/>
      <c r="K52" s="103" t="s">
        <v>67</v>
      </c>
      <c r="L52" s="103"/>
      <c r="M52" s="103"/>
      <c r="N52" s="103"/>
      <c r="O52" s="103"/>
      <c r="P52" s="103"/>
      <c r="Q52" s="103"/>
    </row>
    <row r="53" spans="1:17" ht="38.549999999999997" customHeight="1" x14ac:dyDescent="0.3">
      <c r="A53" s="115" t="s">
        <v>63</v>
      </c>
      <c r="B53" s="117"/>
      <c r="C53" s="67">
        <f>ROUND(8%*C33,5)</f>
        <v>4.0000000000000003E-5</v>
      </c>
      <c r="D53" s="62">
        <f>ROUND($D$14*C53,2)</f>
        <v>0.05</v>
      </c>
      <c r="E53" s="138" t="s">
        <v>121</v>
      </c>
      <c r="F53" s="138"/>
      <c r="G53" s="138"/>
      <c r="H53" s="138"/>
      <c r="I53" s="138"/>
      <c r="J53" s="138"/>
      <c r="K53" s="103"/>
      <c r="L53" s="103"/>
      <c r="M53" s="103"/>
      <c r="N53" s="103"/>
      <c r="O53" s="103"/>
      <c r="P53" s="103"/>
      <c r="Q53" s="103"/>
    </row>
    <row r="54" spans="1:17" ht="30.75" customHeight="1" x14ac:dyDescent="0.3">
      <c r="A54" s="127" t="s">
        <v>64</v>
      </c>
      <c r="B54" s="128"/>
      <c r="C54" s="20">
        <f>ROUND(C19*C43,5)</f>
        <v>2.2200000000000002E-3</v>
      </c>
      <c r="D54" s="10">
        <f>ROUND($D$14*C54,2)</f>
        <v>2.66</v>
      </c>
      <c r="E54" s="138" t="s">
        <v>120</v>
      </c>
      <c r="F54" s="138"/>
      <c r="G54" s="138"/>
      <c r="H54" s="138"/>
      <c r="I54" s="138"/>
      <c r="J54" s="138"/>
      <c r="K54" s="103"/>
      <c r="L54" s="103"/>
      <c r="M54" s="103"/>
      <c r="N54" s="103"/>
      <c r="O54" s="103"/>
      <c r="P54" s="103"/>
      <c r="Q54" s="103"/>
    </row>
    <row r="55" spans="1:17" x14ac:dyDescent="0.3">
      <c r="A55" s="121" t="s">
        <v>65</v>
      </c>
      <c r="B55" s="122"/>
      <c r="C55" s="60">
        <f>ROUND(SUM(C52:C54),5)</f>
        <v>2.5899999999999999E-3</v>
      </c>
      <c r="D55" s="59">
        <f>ROUND(SUM(D52:D54),2)</f>
        <v>3.11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3">
      <c r="A56" s="11"/>
      <c r="B56" s="11"/>
      <c r="C56" s="14"/>
      <c r="D56" s="13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3">
      <c r="A57" s="124" t="s">
        <v>68</v>
      </c>
      <c r="B57" s="126"/>
      <c r="C57" s="50" t="s">
        <v>6</v>
      </c>
      <c r="D57" s="50" t="s">
        <v>7</v>
      </c>
      <c r="E57" s="102" t="s">
        <v>19</v>
      </c>
      <c r="F57" s="102"/>
      <c r="G57" s="102"/>
      <c r="H57" s="102"/>
      <c r="I57" s="102"/>
      <c r="J57" s="102"/>
      <c r="K57" s="7"/>
      <c r="L57" s="7"/>
      <c r="M57" s="7"/>
      <c r="N57" s="7"/>
      <c r="O57" s="7"/>
      <c r="P57" s="7"/>
      <c r="Q57" s="7"/>
    </row>
    <row r="58" spans="1:17" ht="93" customHeight="1" x14ac:dyDescent="0.3">
      <c r="A58" s="127" t="s">
        <v>69</v>
      </c>
      <c r="B58" s="128"/>
      <c r="C58" s="25">
        <f>ROUND(C26*(4/12)*2/100,5)</f>
        <v>2.65E-3</v>
      </c>
      <c r="D58" s="10">
        <f>ROUND($D$14*C58,2)</f>
        <v>3.18</v>
      </c>
      <c r="E58" s="108" t="s">
        <v>138</v>
      </c>
      <c r="F58" s="108"/>
      <c r="G58" s="108"/>
      <c r="H58" s="108"/>
      <c r="I58" s="108"/>
      <c r="J58" s="108"/>
      <c r="K58" s="7"/>
      <c r="L58" s="7"/>
      <c r="M58" s="7"/>
      <c r="N58" s="7"/>
      <c r="O58" s="7"/>
      <c r="P58" s="7"/>
      <c r="Q58" s="7"/>
    </row>
    <row r="59" spans="1:17" x14ac:dyDescent="0.3">
      <c r="A59" s="121" t="s">
        <v>70</v>
      </c>
      <c r="B59" s="122"/>
      <c r="C59" s="60">
        <f>ROUND(SUM(C58),5)</f>
        <v>2.65E-3</v>
      </c>
      <c r="D59" s="59">
        <f>ROUND(SUM(D58),2)</f>
        <v>3.18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3">
      <c r="A60" s="121" t="s">
        <v>71</v>
      </c>
      <c r="B60" s="122"/>
      <c r="C60" s="60">
        <f>ROUND(C26+C37+C45+C49+C55+C59,5)</f>
        <v>0.74078999999999995</v>
      </c>
      <c r="D60" s="59">
        <f>ROUND(D26+D37+D45+D49+D55+D59,2)</f>
        <v>888.96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ht="15" customHeight="1" x14ac:dyDescent="0.3">
      <c r="A61" s="11"/>
      <c r="B61" s="11"/>
      <c r="C61" s="14"/>
      <c r="D61" s="13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ht="15" customHeight="1" x14ac:dyDescent="0.3">
      <c r="A62" s="121" t="s">
        <v>72</v>
      </c>
      <c r="B62" s="123"/>
      <c r="C62" s="122"/>
      <c r="D62" s="59">
        <f>D14+D60</f>
        <v>2088.96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ht="1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ht="15" customHeight="1" x14ac:dyDescent="0.3">
      <c r="A64" s="102" t="s">
        <v>141</v>
      </c>
      <c r="B64" s="102"/>
      <c r="C64" s="102"/>
      <c r="D64" s="102"/>
      <c r="E64" s="102" t="s">
        <v>19</v>
      </c>
      <c r="F64" s="102"/>
      <c r="G64" s="102"/>
      <c r="H64" s="102"/>
      <c r="I64" s="102"/>
      <c r="J64" s="102"/>
      <c r="K64" s="102" t="s">
        <v>47</v>
      </c>
      <c r="L64" s="102"/>
      <c r="M64" s="102"/>
      <c r="N64" s="102"/>
      <c r="O64" s="102"/>
      <c r="P64" s="102"/>
      <c r="Q64" s="102"/>
    </row>
    <row r="65" spans="1:17" x14ac:dyDescent="0.3">
      <c r="A65" s="124" t="s">
        <v>73</v>
      </c>
      <c r="B65" s="125"/>
      <c r="C65" s="126"/>
      <c r="D65" s="55" t="s">
        <v>7</v>
      </c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</row>
    <row r="66" spans="1:17" ht="154.5" customHeight="1" x14ac:dyDescent="0.3">
      <c r="A66" s="142" t="s">
        <v>102</v>
      </c>
      <c r="B66" s="164"/>
      <c r="C66" s="143"/>
      <c r="D66" s="9">
        <f>ROUND(20.5*22,2)</f>
        <v>451</v>
      </c>
      <c r="E66" s="108" t="s">
        <v>208</v>
      </c>
      <c r="F66" s="108"/>
      <c r="G66" s="108"/>
      <c r="H66" s="108"/>
      <c r="I66" s="108"/>
      <c r="J66" s="108"/>
      <c r="K66" s="104"/>
      <c r="L66" s="104"/>
      <c r="M66" s="104"/>
      <c r="N66" s="104"/>
      <c r="O66" s="104"/>
      <c r="P66" s="104"/>
      <c r="Q66" s="104"/>
    </row>
    <row r="67" spans="1:17" ht="66.45" customHeight="1" x14ac:dyDescent="0.3">
      <c r="A67" s="109" t="s">
        <v>163</v>
      </c>
      <c r="B67" s="110"/>
      <c r="C67" s="111"/>
      <c r="D67" s="65">
        <f>ROUND(($D$66*5%)*-1,2)</f>
        <v>-22.55</v>
      </c>
      <c r="E67" s="108" t="s">
        <v>209</v>
      </c>
      <c r="F67" s="108"/>
      <c r="G67" s="108"/>
      <c r="H67" s="108"/>
      <c r="I67" s="108"/>
      <c r="J67" s="108"/>
      <c r="K67" s="104"/>
      <c r="L67" s="104"/>
      <c r="M67" s="104"/>
      <c r="N67" s="104"/>
      <c r="O67" s="104"/>
      <c r="P67" s="104"/>
      <c r="Q67" s="104"/>
    </row>
    <row r="68" spans="1:17" ht="43.05" customHeight="1" x14ac:dyDescent="0.3">
      <c r="A68" s="142" t="s">
        <v>165</v>
      </c>
      <c r="B68" s="164"/>
      <c r="C68" s="143"/>
      <c r="D68" s="10">
        <v>105</v>
      </c>
      <c r="E68" s="115" t="s">
        <v>210</v>
      </c>
      <c r="F68" s="116"/>
      <c r="G68" s="116"/>
      <c r="H68" s="116"/>
      <c r="I68" s="116"/>
      <c r="J68" s="117"/>
      <c r="K68" s="104"/>
      <c r="L68" s="104"/>
      <c r="M68" s="104"/>
      <c r="N68" s="104"/>
      <c r="O68" s="104"/>
      <c r="P68" s="104"/>
      <c r="Q68" s="104"/>
    </row>
    <row r="69" spans="1:17" ht="53.55" customHeight="1" x14ac:dyDescent="0.3">
      <c r="A69" s="112" t="s">
        <v>75</v>
      </c>
      <c r="B69" s="113"/>
      <c r="C69" s="114"/>
      <c r="D69" s="62">
        <f>ROUND(3.8*2*22,2)</f>
        <v>167.2</v>
      </c>
      <c r="E69" s="115" t="s">
        <v>164</v>
      </c>
      <c r="F69" s="116"/>
      <c r="G69" s="116"/>
      <c r="H69" s="116"/>
      <c r="I69" s="116"/>
      <c r="J69" s="117"/>
      <c r="K69" s="104"/>
      <c r="L69" s="104"/>
      <c r="M69" s="104"/>
      <c r="N69" s="104"/>
      <c r="O69" s="104"/>
      <c r="P69" s="104"/>
      <c r="Q69" s="104"/>
    </row>
    <row r="70" spans="1:17" ht="76.95" customHeight="1" x14ac:dyDescent="0.3">
      <c r="A70" s="118" t="s">
        <v>76</v>
      </c>
      <c r="B70" s="119"/>
      <c r="C70" s="120"/>
      <c r="D70" s="15">
        <f>ROUND(($D$12*6%)*-1,2)</f>
        <v>-72</v>
      </c>
      <c r="E70" s="108" t="s">
        <v>213</v>
      </c>
      <c r="F70" s="108"/>
      <c r="G70" s="108"/>
      <c r="H70" s="108"/>
      <c r="I70" s="108"/>
      <c r="J70" s="108"/>
      <c r="K70" s="104"/>
      <c r="L70" s="104"/>
      <c r="M70" s="104"/>
      <c r="N70" s="104"/>
      <c r="O70" s="104"/>
      <c r="P70" s="104"/>
      <c r="Q70" s="104"/>
    </row>
    <row r="71" spans="1:17" ht="48.45" customHeight="1" x14ac:dyDescent="0.3">
      <c r="A71" s="166" t="s">
        <v>166</v>
      </c>
      <c r="B71" s="167"/>
      <c r="C71" s="168"/>
      <c r="D71" s="66">
        <v>10</v>
      </c>
      <c r="E71" s="108" t="s">
        <v>212</v>
      </c>
      <c r="F71" s="108"/>
      <c r="G71" s="108"/>
      <c r="H71" s="108"/>
      <c r="I71" s="108"/>
      <c r="J71" s="108"/>
      <c r="K71" s="104"/>
      <c r="L71" s="104"/>
      <c r="M71" s="104"/>
      <c r="N71" s="104"/>
      <c r="O71" s="104"/>
      <c r="P71" s="104"/>
      <c r="Q71" s="104"/>
    </row>
    <row r="72" spans="1:17" ht="51.45" customHeight="1" x14ac:dyDescent="0.3">
      <c r="A72" s="118" t="s">
        <v>167</v>
      </c>
      <c r="B72" s="119"/>
      <c r="C72" s="120"/>
      <c r="D72" s="15">
        <v>-2</v>
      </c>
      <c r="E72" s="108" t="s">
        <v>212</v>
      </c>
      <c r="F72" s="108"/>
      <c r="G72" s="108"/>
      <c r="H72" s="108"/>
      <c r="I72" s="108"/>
      <c r="J72" s="108"/>
      <c r="K72" s="104"/>
      <c r="L72" s="104"/>
      <c r="M72" s="104"/>
      <c r="N72" s="104"/>
      <c r="O72" s="104"/>
      <c r="P72" s="104"/>
      <c r="Q72" s="104"/>
    </row>
    <row r="73" spans="1:17" ht="29.55" customHeight="1" x14ac:dyDescent="0.3">
      <c r="A73" s="166" t="s">
        <v>74</v>
      </c>
      <c r="B73" s="167"/>
      <c r="C73" s="168"/>
      <c r="D73" s="66">
        <f>'Uniforme Agente'!F12</f>
        <v>113.01</v>
      </c>
      <c r="E73" s="108" t="s">
        <v>168</v>
      </c>
      <c r="F73" s="108"/>
      <c r="G73" s="108"/>
      <c r="H73" s="108"/>
      <c r="I73" s="108"/>
      <c r="J73" s="108"/>
      <c r="K73" s="104"/>
      <c r="L73" s="104"/>
      <c r="M73" s="104"/>
      <c r="N73" s="104"/>
      <c r="O73" s="104"/>
      <c r="P73" s="104"/>
      <c r="Q73" s="104"/>
    </row>
    <row r="74" spans="1:17" ht="25.5" customHeight="1" x14ac:dyDescent="0.3">
      <c r="A74" s="105" t="s">
        <v>192</v>
      </c>
      <c r="B74" s="106"/>
      <c r="C74" s="107"/>
      <c r="D74" s="9">
        <f>Equipamento!F13</f>
        <v>36</v>
      </c>
      <c r="E74" s="108" t="s">
        <v>169</v>
      </c>
      <c r="F74" s="108"/>
      <c r="G74" s="108"/>
      <c r="H74" s="108"/>
      <c r="I74" s="108"/>
      <c r="J74" s="108"/>
      <c r="K74" s="104"/>
      <c r="L74" s="104"/>
      <c r="M74" s="104"/>
      <c r="N74" s="104"/>
      <c r="O74" s="104"/>
      <c r="P74" s="104"/>
      <c r="Q74" s="104"/>
    </row>
    <row r="75" spans="1:17" ht="15" customHeight="1" x14ac:dyDescent="0.3">
      <c r="A75" s="137" t="s">
        <v>77</v>
      </c>
      <c r="B75" s="137"/>
      <c r="C75" s="137"/>
      <c r="D75" s="59">
        <f>ROUND(SUM(D66:D74),2)</f>
        <v>785.66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3">
      <c r="A76" s="11"/>
      <c r="B76" s="11"/>
      <c r="C76" s="11"/>
      <c r="D76" s="13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ht="30" customHeight="1" x14ac:dyDescent="0.3">
      <c r="A77" s="121" t="s">
        <v>79</v>
      </c>
      <c r="B77" s="123"/>
      <c r="C77" s="122"/>
      <c r="D77" s="59">
        <f>ROUND(D62+D75,2)</f>
        <v>2874.62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3">
      <c r="A78" s="11"/>
      <c r="B78" s="11"/>
      <c r="C78" s="11"/>
      <c r="D78" s="13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3">
      <c r="A79" s="102" t="s">
        <v>206</v>
      </c>
      <c r="B79" s="102"/>
      <c r="C79" s="102"/>
      <c r="D79" s="102"/>
      <c r="E79" s="102" t="s">
        <v>19</v>
      </c>
      <c r="F79" s="102"/>
      <c r="G79" s="102"/>
      <c r="H79" s="102"/>
      <c r="I79" s="102"/>
      <c r="J79" s="102"/>
      <c r="K79" s="102" t="s">
        <v>47</v>
      </c>
      <c r="L79" s="102"/>
      <c r="M79" s="102"/>
      <c r="N79" s="102"/>
      <c r="O79" s="102"/>
      <c r="P79" s="102"/>
      <c r="Q79" s="102"/>
    </row>
    <row r="80" spans="1:17" x14ac:dyDescent="0.3">
      <c r="A80" s="124" t="s">
        <v>80</v>
      </c>
      <c r="B80" s="126"/>
      <c r="C80" s="50" t="s">
        <v>6</v>
      </c>
      <c r="D80" s="50" t="s">
        <v>7</v>
      </c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</row>
    <row r="81" spans="1:17" s="1" customFormat="1" ht="30" customHeight="1" x14ac:dyDescent="0.3">
      <c r="A81" s="127" t="s">
        <v>81</v>
      </c>
      <c r="B81" s="128"/>
      <c r="C81" s="24">
        <v>0.05</v>
      </c>
      <c r="D81" s="16">
        <f>ROUND(D77*C81,2)</f>
        <v>143.72999999999999</v>
      </c>
      <c r="E81" s="129" t="s">
        <v>142</v>
      </c>
      <c r="F81" s="130"/>
      <c r="G81" s="130"/>
      <c r="H81" s="130"/>
      <c r="I81" s="130"/>
      <c r="J81" s="131"/>
      <c r="K81" s="103"/>
      <c r="L81" s="103"/>
      <c r="M81" s="103"/>
      <c r="N81" s="103"/>
      <c r="O81" s="103"/>
      <c r="P81" s="103"/>
      <c r="Q81" s="103"/>
    </row>
    <row r="82" spans="1:17" s="1" customFormat="1" ht="30" customHeight="1" x14ac:dyDescent="0.3">
      <c r="A82" s="115" t="s">
        <v>9</v>
      </c>
      <c r="B82" s="117"/>
      <c r="C82" s="61">
        <v>0.1</v>
      </c>
      <c r="D82" s="64">
        <f>ROUND(D77*C82,2)</f>
        <v>287.45999999999998</v>
      </c>
      <c r="E82" s="132"/>
      <c r="F82" s="133"/>
      <c r="G82" s="133"/>
      <c r="H82" s="133"/>
      <c r="I82" s="133"/>
      <c r="J82" s="134"/>
      <c r="K82" s="103"/>
      <c r="L82" s="103"/>
      <c r="M82" s="103"/>
      <c r="N82" s="103"/>
      <c r="O82" s="103"/>
      <c r="P82" s="103"/>
      <c r="Q82" s="103"/>
    </row>
    <row r="83" spans="1:17" x14ac:dyDescent="0.3">
      <c r="A83" s="121" t="s">
        <v>82</v>
      </c>
      <c r="B83" s="122"/>
      <c r="C83" s="63">
        <f>ROUND(SUM(C81:C82),5)</f>
        <v>0.15</v>
      </c>
      <c r="D83" s="59">
        <f>SUM(D81:D82)</f>
        <v>431.18999999999994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3">
      <c r="A84" s="11"/>
      <c r="B84" s="11"/>
      <c r="C84" s="12"/>
      <c r="D84" s="13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ht="30" customHeight="1" x14ac:dyDescent="0.3">
      <c r="A85" s="121" t="s">
        <v>143</v>
      </c>
      <c r="B85" s="123"/>
      <c r="C85" s="122"/>
      <c r="D85" s="59">
        <f>ROUND(D77+D83,2)</f>
        <v>3305.81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3">
      <c r="A86" s="11"/>
      <c r="B86" s="11"/>
      <c r="C86" s="11"/>
      <c r="D86" s="13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35.25" customHeight="1" x14ac:dyDescent="0.3">
      <c r="A87" s="135" t="s">
        <v>103</v>
      </c>
      <c r="B87" s="135"/>
      <c r="C87" s="60">
        <f>ROUND(1-(SUM(C90:C92)/1),5)</f>
        <v>0.91349999999999998</v>
      </c>
      <c r="D87" s="59">
        <f>ROUND(D85/C87,2)</f>
        <v>3618.84</v>
      </c>
      <c r="E87" s="136"/>
      <c r="F87" s="136"/>
      <c r="G87" s="136"/>
      <c r="H87" s="136"/>
      <c r="I87" s="136"/>
      <c r="J87" s="7"/>
      <c r="K87" s="7"/>
      <c r="L87" s="7"/>
      <c r="M87" s="7"/>
      <c r="N87" s="7"/>
      <c r="O87" s="7"/>
      <c r="P87" s="7"/>
      <c r="Q87" s="7"/>
    </row>
    <row r="88" spans="1:17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3">
      <c r="A89" s="124" t="s">
        <v>83</v>
      </c>
      <c r="B89" s="126"/>
      <c r="C89" s="50" t="s">
        <v>6</v>
      </c>
      <c r="D89" s="50" t="s">
        <v>7</v>
      </c>
      <c r="E89" s="102" t="s">
        <v>19</v>
      </c>
      <c r="F89" s="102"/>
      <c r="G89" s="102"/>
      <c r="H89" s="102"/>
      <c r="I89" s="102"/>
      <c r="J89" s="102"/>
      <c r="K89" s="102" t="s">
        <v>47</v>
      </c>
      <c r="L89" s="102"/>
      <c r="M89" s="102"/>
      <c r="N89" s="102"/>
      <c r="O89" s="102"/>
      <c r="P89" s="102"/>
      <c r="Q89" s="102"/>
    </row>
    <row r="90" spans="1:17" ht="22.05" customHeight="1" x14ac:dyDescent="0.3">
      <c r="A90" s="127" t="s">
        <v>84</v>
      </c>
      <c r="B90" s="128"/>
      <c r="C90" s="24">
        <v>0.05</v>
      </c>
      <c r="D90" s="10">
        <f>ROUND($D$87*C90,2)</f>
        <v>180.94</v>
      </c>
      <c r="E90" s="108" t="s">
        <v>144</v>
      </c>
      <c r="F90" s="108"/>
      <c r="G90" s="108"/>
      <c r="H90" s="108"/>
      <c r="I90" s="108"/>
      <c r="J90" s="108"/>
      <c r="K90" s="103"/>
      <c r="L90" s="103"/>
      <c r="M90" s="103"/>
      <c r="N90" s="103"/>
      <c r="O90" s="103"/>
      <c r="P90" s="103"/>
      <c r="Q90" s="103"/>
    </row>
    <row r="91" spans="1:17" ht="22.05" customHeight="1" x14ac:dyDescent="0.3">
      <c r="A91" s="115" t="s">
        <v>85</v>
      </c>
      <c r="B91" s="117"/>
      <c r="C91" s="61">
        <v>0.03</v>
      </c>
      <c r="D91" s="62">
        <f>ROUND($D$87*C91,2)</f>
        <v>108.57</v>
      </c>
      <c r="E91" s="108"/>
      <c r="F91" s="108"/>
      <c r="G91" s="108"/>
      <c r="H91" s="108"/>
      <c r="I91" s="108"/>
      <c r="J91" s="108"/>
      <c r="K91" s="103"/>
      <c r="L91" s="103"/>
      <c r="M91" s="103"/>
      <c r="N91" s="103"/>
      <c r="O91" s="103"/>
      <c r="P91" s="103"/>
      <c r="Q91" s="103"/>
    </row>
    <row r="92" spans="1:17" ht="22.05" customHeight="1" x14ac:dyDescent="0.3">
      <c r="A92" s="127" t="s">
        <v>86</v>
      </c>
      <c r="B92" s="128"/>
      <c r="C92" s="24">
        <v>6.4999999999999997E-3</v>
      </c>
      <c r="D92" s="10">
        <f>ROUND($D$87*C92,2)</f>
        <v>23.52</v>
      </c>
      <c r="E92" s="108"/>
      <c r="F92" s="108"/>
      <c r="G92" s="108"/>
      <c r="H92" s="108"/>
      <c r="I92" s="108"/>
      <c r="J92" s="108"/>
      <c r="K92" s="103"/>
      <c r="L92" s="103"/>
      <c r="M92" s="103"/>
      <c r="N92" s="103"/>
      <c r="O92" s="103"/>
      <c r="P92" s="103"/>
      <c r="Q92" s="103"/>
    </row>
    <row r="93" spans="1:17" x14ac:dyDescent="0.3">
      <c r="A93" s="121" t="s">
        <v>87</v>
      </c>
      <c r="B93" s="122"/>
      <c r="C93" s="60">
        <f>ROUND(SUM(C90:C92),5)</f>
        <v>8.6499999999999994E-2</v>
      </c>
      <c r="D93" s="59">
        <f>ROUND(SUM(D90:D92),2)</f>
        <v>313.02999999999997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25.05" customHeight="1" x14ac:dyDescent="0.3">
      <c r="A95" s="121" t="s">
        <v>88</v>
      </c>
      <c r="B95" s="123"/>
      <c r="C95" s="122"/>
      <c r="D95" s="59">
        <f>ROUND(D85+D93,2)</f>
        <v>3618.84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ht="25.05" customHeight="1" x14ac:dyDescent="0.3">
      <c r="A96" s="121" t="s">
        <v>111</v>
      </c>
      <c r="B96" s="123"/>
      <c r="C96" s="122"/>
      <c r="D96" s="59">
        <f>ROUND(D95*12,2)</f>
        <v>43426.080000000002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15" customHeight="1" x14ac:dyDescent="0.3">
      <c r="A97" s="30"/>
      <c r="B97" s="30"/>
      <c r="C97" s="30"/>
      <c r="D97" s="13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ht="15" customHeight="1" x14ac:dyDescent="0.3">
      <c r="A98" s="102" t="s">
        <v>89</v>
      </c>
      <c r="B98" s="102"/>
      <c r="C98" s="102"/>
      <c r="D98" s="56" t="s">
        <v>6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5" customHeight="1" x14ac:dyDescent="0.3">
      <c r="A99" s="103" t="s">
        <v>145</v>
      </c>
      <c r="B99" s="103"/>
      <c r="C99" s="103"/>
      <c r="D99" s="31">
        <f>C26</f>
        <v>0.39800000000000002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15" customHeight="1" x14ac:dyDescent="0.3">
      <c r="A100" s="108" t="s">
        <v>40</v>
      </c>
      <c r="B100" s="108"/>
      <c r="C100" s="108"/>
      <c r="D100" s="58">
        <f>C37</f>
        <v>0.19356999999999999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ht="15" customHeight="1" x14ac:dyDescent="0.3">
      <c r="A101" s="103" t="s">
        <v>52</v>
      </c>
      <c r="B101" s="103"/>
      <c r="C101" s="103"/>
      <c r="D101" s="31">
        <f>C45</f>
        <v>6.694E-2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15" customHeight="1" x14ac:dyDescent="0.3">
      <c r="A102" s="108" t="s">
        <v>60</v>
      </c>
      <c r="B102" s="108"/>
      <c r="C102" s="108"/>
      <c r="D102" s="58">
        <f>C49</f>
        <v>7.7039999999999997E-2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ht="15" customHeight="1" x14ac:dyDescent="0.3">
      <c r="A103" s="103" t="s">
        <v>65</v>
      </c>
      <c r="B103" s="103"/>
      <c r="C103" s="103"/>
      <c r="D103" s="31">
        <f>C55</f>
        <v>2.5899999999999999E-3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ht="15" customHeight="1" x14ac:dyDescent="0.3">
      <c r="A104" s="108" t="s">
        <v>70</v>
      </c>
      <c r="B104" s="108"/>
      <c r="C104" s="108"/>
      <c r="D104" s="58">
        <f>C59</f>
        <v>2.65E-3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ht="15" customHeight="1" x14ac:dyDescent="0.3">
      <c r="A105" s="165" t="s">
        <v>146</v>
      </c>
      <c r="B105" s="165"/>
      <c r="C105" s="165"/>
      <c r="D105" s="57">
        <f>ROUND(SUM(D99:D104),5)</f>
        <v>0.74078999999999995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</sheetData>
  <mergeCells count="154">
    <mergeCell ref="A103:C103"/>
    <mergeCell ref="A104:C104"/>
    <mergeCell ref="A105:C105"/>
    <mergeCell ref="A68:C68"/>
    <mergeCell ref="E68:J68"/>
    <mergeCell ref="A98:C98"/>
    <mergeCell ref="A99:C99"/>
    <mergeCell ref="A100:C100"/>
    <mergeCell ref="A101:C101"/>
    <mergeCell ref="A71:C71"/>
    <mergeCell ref="E71:J71"/>
    <mergeCell ref="A72:C72"/>
    <mergeCell ref="E72:J72"/>
    <mergeCell ref="A73:C73"/>
    <mergeCell ref="E73:J73"/>
    <mergeCell ref="A93:B93"/>
    <mergeCell ref="A95:C95"/>
    <mergeCell ref="A96:C96"/>
    <mergeCell ref="A89:B89"/>
    <mergeCell ref="E89:J89"/>
    <mergeCell ref="A90:B90"/>
    <mergeCell ref="E90:J92"/>
    <mergeCell ref="A91:B91"/>
    <mergeCell ref="A92:B92"/>
    <mergeCell ref="A102:C102"/>
    <mergeCell ref="A21:B21"/>
    <mergeCell ref="E21:J21"/>
    <mergeCell ref="A22:B22"/>
    <mergeCell ref="E22:J22"/>
    <mergeCell ref="A23:B23"/>
    <mergeCell ref="E23:J23"/>
    <mergeCell ref="B5:E5"/>
    <mergeCell ref="B6:E6"/>
    <mergeCell ref="A37:B37"/>
    <mergeCell ref="A39:B39"/>
    <mergeCell ref="E39:J39"/>
    <mergeCell ref="A45:B45"/>
    <mergeCell ref="A47:B47"/>
    <mergeCell ref="E47:J47"/>
    <mergeCell ref="A66:C66"/>
    <mergeCell ref="E66:J66"/>
    <mergeCell ref="A55:B55"/>
    <mergeCell ref="A57:B57"/>
    <mergeCell ref="E57:J57"/>
    <mergeCell ref="A58:B58"/>
    <mergeCell ref="E58:J58"/>
    <mergeCell ref="A59:B59"/>
    <mergeCell ref="A82:B82"/>
    <mergeCell ref="A1:Q1"/>
    <mergeCell ref="B2:E2"/>
    <mergeCell ref="B3:E3"/>
    <mergeCell ref="A19:B19"/>
    <mergeCell ref="E19:J19"/>
    <mergeCell ref="A20:B20"/>
    <mergeCell ref="E20:J20"/>
    <mergeCell ref="G2:Q2"/>
    <mergeCell ref="G3:Q7"/>
    <mergeCell ref="A9:Q9"/>
    <mergeCell ref="A10:D10"/>
    <mergeCell ref="E10:J11"/>
    <mergeCell ref="A11:B11"/>
    <mergeCell ref="A18:B18"/>
    <mergeCell ref="E18:J18"/>
    <mergeCell ref="A12:B12"/>
    <mergeCell ref="E12:J12"/>
    <mergeCell ref="A13:B13"/>
    <mergeCell ref="E13:J13"/>
    <mergeCell ref="A14:C14"/>
    <mergeCell ref="A16:D16"/>
    <mergeCell ref="E16:J17"/>
    <mergeCell ref="A17:B17"/>
    <mergeCell ref="B4:E4"/>
    <mergeCell ref="K28:Q28"/>
    <mergeCell ref="A24:B24"/>
    <mergeCell ref="E24:J24"/>
    <mergeCell ref="A25:B25"/>
    <mergeCell ref="E25:J25"/>
    <mergeCell ref="A26:B26"/>
    <mergeCell ref="A29:B29"/>
    <mergeCell ref="E29:J29"/>
    <mergeCell ref="K29:Q36"/>
    <mergeCell ref="A30:B30"/>
    <mergeCell ref="E30:J30"/>
    <mergeCell ref="A31:B31"/>
    <mergeCell ref="E31:J31"/>
    <mergeCell ref="A32:B32"/>
    <mergeCell ref="E32:J32"/>
    <mergeCell ref="A36:B36"/>
    <mergeCell ref="E36:J36"/>
    <mergeCell ref="A28:B28"/>
    <mergeCell ref="E28:J28"/>
    <mergeCell ref="A33:B33"/>
    <mergeCell ref="E33:J33"/>
    <mergeCell ref="A34:B34"/>
    <mergeCell ref="E34:J34"/>
    <mergeCell ref="A35:B35"/>
    <mergeCell ref="E35:J35"/>
    <mergeCell ref="E43:J43"/>
    <mergeCell ref="A44:B44"/>
    <mergeCell ref="E44:J44"/>
    <mergeCell ref="A40:B40"/>
    <mergeCell ref="E40:J40"/>
    <mergeCell ref="A41:B41"/>
    <mergeCell ref="E41:J41"/>
    <mergeCell ref="A42:B42"/>
    <mergeCell ref="E42:J42"/>
    <mergeCell ref="A43:B43"/>
    <mergeCell ref="A48:B48"/>
    <mergeCell ref="E48:J48"/>
    <mergeCell ref="A49:B49"/>
    <mergeCell ref="A51:B51"/>
    <mergeCell ref="E51:J51"/>
    <mergeCell ref="K51:Q51"/>
    <mergeCell ref="A52:B52"/>
    <mergeCell ref="E52:J52"/>
    <mergeCell ref="K39:Q39"/>
    <mergeCell ref="K40:Q44"/>
    <mergeCell ref="A85:C85"/>
    <mergeCell ref="A87:B87"/>
    <mergeCell ref="E87:I87"/>
    <mergeCell ref="A77:C77"/>
    <mergeCell ref="A79:D79"/>
    <mergeCell ref="E79:J80"/>
    <mergeCell ref="A80:B80"/>
    <mergeCell ref="A75:C75"/>
    <mergeCell ref="K52:Q54"/>
    <mergeCell ref="A53:B53"/>
    <mergeCell ref="E53:J53"/>
    <mergeCell ref="A54:B54"/>
    <mergeCell ref="E54:J54"/>
    <mergeCell ref="K89:Q89"/>
    <mergeCell ref="K90:Q92"/>
    <mergeCell ref="K79:Q80"/>
    <mergeCell ref="K81:Q82"/>
    <mergeCell ref="K64:Q65"/>
    <mergeCell ref="K66:Q74"/>
    <mergeCell ref="K10:Q11"/>
    <mergeCell ref="K12:Q13"/>
    <mergeCell ref="A74:C74"/>
    <mergeCell ref="E74:J74"/>
    <mergeCell ref="A67:C67"/>
    <mergeCell ref="E67:J67"/>
    <mergeCell ref="A69:C69"/>
    <mergeCell ref="E69:J69"/>
    <mergeCell ref="A70:C70"/>
    <mergeCell ref="E70:J70"/>
    <mergeCell ref="A60:B60"/>
    <mergeCell ref="A62:C62"/>
    <mergeCell ref="A64:D64"/>
    <mergeCell ref="E64:J65"/>
    <mergeCell ref="A65:C65"/>
    <mergeCell ref="A81:B81"/>
    <mergeCell ref="E81:J82"/>
    <mergeCell ref="A83:B83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scale="74" fitToHeight="0" orientation="landscape" r:id="rId1"/>
  <headerFooter>
    <oddFooter>&amp;C&amp;"Arial,Normal"&amp;8Página &amp;P de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view="pageBreakPreview" zoomScaleNormal="100" zoomScaleSheetLayoutView="100" workbookViewId="0">
      <selection activeCell="E24" sqref="F24"/>
    </sheetView>
  </sheetViews>
  <sheetFormatPr defaultRowHeight="14.4" x14ac:dyDescent="0.3"/>
  <cols>
    <col min="1" max="1" width="5.77734375" customWidth="1"/>
    <col min="2" max="2" width="27.77734375" customWidth="1"/>
    <col min="3" max="3" width="9.21875" customWidth="1"/>
    <col min="4" max="4" width="9.33203125" customWidth="1"/>
    <col min="5" max="5" width="12.77734375" customWidth="1"/>
    <col min="6" max="6" width="14.33203125" customWidth="1"/>
  </cols>
  <sheetData>
    <row r="1" spans="1:6" ht="15" customHeight="1" x14ac:dyDescent="0.3">
      <c r="A1" s="144" t="s">
        <v>161</v>
      </c>
      <c r="B1" s="144"/>
      <c r="C1" s="144"/>
      <c r="D1" s="144"/>
      <c r="E1" s="144"/>
      <c r="F1" s="144"/>
    </row>
    <row r="2" spans="1:6" ht="39.75" customHeight="1" x14ac:dyDescent="0.3">
      <c r="A2" s="50" t="s">
        <v>89</v>
      </c>
      <c r="B2" s="49" t="s">
        <v>91</v>
      </c>
      <c r="C2" s="50" t="s">
        <v>92</v>
      </c>
      <c r="D2" s="50" t="s">
        <v>95</v>
      </c>
      <c r="E2" s="50" t="s">
        <v>96</v>
      </c>
      <c r="F2" s="50" t="s">
        <v>97</v>
      </c>
    </row>
    <row r="3" spans="1:6" ht="15" customHeight="1" x14ac:dyDescent="0.3">
      <c r="A3" s="33">
        <f>1</f>
        <v>1</v>
      </c>
      <c r="B3" s="39" t="s">
        <v>104</v>
      </c>
      <c r="C3" s="33" t="s">
        <v>93</v>
      </c>
      <c r="D3" s="33">
        <v>6</v>
      </c>
      <c r="E3" s="35">
        <v>37.950000000000003</v>
      </c>
      <c r="F3" s="35">
        <f t="shared" ref="F3:F10" si="0">ROUND(E3*D3,2)</f>
        <v>227.7</v>
      </c>
    </row>
    <row r="4" spans="1:6" ht="15" customHeight="1" x14ac:dyDescent="0.3">
      <c r="A4" s="73">
        <f t="shared" ref="A4:A9" si="1">A3+1</f>
        <v>2</v>
      </c>
      <c r="B4" s="74" t="s">
        <v>105</v>
      </c>
      <c r="C4" s="73" t="s">
        <v>93</v>
      </c>
      <c r="D4" s="73">
        <v>8</v>
      </c>
      <c r="E4" s="75">
        <v>40.86</v>
      </c>
      <c r="F4" s="75">
        <f t="shared" si="0"/>
        <v>326.88</v>
      </c>
    </row>
    <row r="5" spans="1:6" ht="15" customHeight="1" x14ac:dyDescent="0.3">
      <c r="A5" s="33">
        <f t="shared" si="1"/>
        <v>3</v>
      </c>
      <c r="B5" s="39" t="s">
        <v>147</v>
      </c>
      <c r="C5" s="33" t="s">
        <v>93</v>
      </c>
      <c r="D5" s="33">
        <v>2</v>
      </c>
      <c r="E5" s="35">
        <v>42.51</v>
      </c>
      <c r="F5" s="35">
        <f t="shared" si="0"/>
        <v>85.02</v>
      </c>
    </row>
    <row r="6" spans="1:6" ht="15" customHeight="1" x14ac:dyDescent="0.3">
      <c r="A6" s="73">
        <f t="shared" si="1"/>
        <v>4</v>
      </c>
      <c r="B6" s="74" t="s">
        <v>170</v>
      </c>
      <c r="C6" s="73" t="s">
        <v>93</v>
      </c>
      <c r="D6" s="73">
        <v>2</v>
      </c>
      <c r="E6" s="75">
        <v>23.33</v>
      </c>
      <c r="F6" s="75">
        <f t="shared" si="0"/>
        <v>46.66</v>
      </c>
    </row>
    <row r="7" spans="1:6" ht="25.95" customHeight="1" x14ac:dyDescent="0.3">
      <c r="A7" s="33">
        <f t="shared" si="1"/>
        <v>5</v>
      </c>
      <c r="B7" s="39" t="s">
        <v>214</v>
      </c>
      <c r="C7" s="33" t="s">
        <v>94</v>
      </c>
      <c r="D7" s="33">
        <v>4</v>
      </c>
      <c r="E7" s="35">
        <v>67.48</v>
      </c>
      <c r="F7" s="35">
        <f t="shared" si="0"/>
        <v>269.92</v>
      </c>
    </row>
    <row r="8" spans="1:6" ht="15" customHeight="1" x14ac:dyDescent="0.3">
      <c r="A8" s="73">
        <f t="shared" si="1"/>
        <v>6</v>
      </c>
      <c r="B8" s="74" t="s">
        <v>171</v>
      </c>
      <c r="C8" s="73" t="s">
        <v>94</v>
      </c>
      <c r="D8" s="73">
        <v>2</v>
      </c>
      <c r="E8" s="75">
        <v>178.67</v>
      </c>
      <c r="F8" s="75">
        <f t="shared" si="0"/>
        <v>357.34</v>
      </c>
    </row>
    <row r="9" spans="1:6" ht="15" customHeight="1" x14ac:dyDescent="0.3">
      <c r="A9" s="33">
        <f t="shared" si="1"/>
        <v>7</v>
      </c>
      <c r="B9" s="39" t="s">
        <v>148</v>
      </c>
      <c r="C9" s="33" t="s">
        <v>93</v>
      </c>
      <c r="D9" s="33">
        <v>1</v>
      </c>
      <c r="E9" s="35">
        <v>37.659999999999997</v>
      </c>
      <c r="F9" s="35">
        <f t="shared" si="0"/>
        <v>37.659999999999997</v>
      </c>
    </row>
    <row r="10" spans="1:6" ht="15" customHeight="1" x14ac:dyDescent="0.3">
      <c r="A10" s="73">
        <f>A9+1</f>
        <v>8</v>
      </c>
      <c r="B10" s="74" t="s">
        <v>106</v>
      </c>
      <c r="C10" s="73" t="s">
        <v>93</v>
      </c>
      <c r="D10" s="73">
        <v>1</v>
      </c>
      <c r="E10" s="75">
        <v>4.9800000000000004</v>
      </c>
      <c r="F10" s="75">
        <f t="shared" si="0"/>
        <v>4.9800000000000004</v>
      </c>
    </row>
    <row r="11" spans="1:6" ht="15" customHeight="1" x14ac:dyDescent="0.3">
      <c r="A11" s="82" t="s">
        <v>151</v>
      </c>
      <c r="B11" s="82"/>
      <c r="C11" s="82"/>
      <c r="D11" s="82"/>
      <c r="E11" s="82"/>
      <c r="F11" s="52">
        <f>ROUND(SUM(F3:F10),2)</f>
        <v>1356.16</v>
      </c>
    </row>
    <row r="12" spans="1:6" ht="15" customHeight="1" x14ac:dyDescent="0.3">
      <c r="A12" s="82" t="s">
        <v>152</v>
      </c>
      <c r="B12" s="82"/>
      <c r="C12" s="82"/>
      <c r="D12" s="82"/>
      <c r="E12" s="82"/>
      <c r="F12" s="52">
        <f>ROUND(F11/12,2)</f>
        <v>113.01</v>
      </c>
    </row>
    <row r="13" spans="1:6" x14ac:dyDescent="0.3">
      <c r="A13" s="4"/>
      <c r="B13" s="4"/>
      <c r="C13" s="4"/>
      <c r="D13" s="4"/>
      <c r="E13" s="4"/>
      <c r="F13" s="4"/>
    </row>
    <row r="14" spans="1:6" x14ac:dyDescent="0.3">
      <c r="A14" s="86" t="s">
        <v>134</v>
      </c>
      <c r="B14" s="86"/>
      <c r="C14" s="86"/>
      <c r="D14" s="86"/>
      <c r="E14" s="86"/>
      <c r="F14" s="86"/>
    </row>
    <row r="15" spans="1:6" x14ac:dyDescent="0.3">
      <c r="A15" s="81" t="s">
        <v>194</v>
      </c>
      <c r="B15" s="81"/>
      <c r="C15" s="81"/>
      <c r="D15" s="81"/>
      <c r="E15" s="81"/>
      <c r="F15" s="81"/>
    </row>
    <row r="16" spans="1:6" x14ac:dyDescent="0.3">
      <c r="A16" s="81"/>
      <c r="B16" s="81"/>
      <c r="C16" s="81"/>
      <c r="D16" s="81"/>
      <c r="E16" s="81"/>
      <c r="F16" s="81"/>
    </row>
  </sheetData>
  <mergeCells count="5">
    <mergeCell ref="A14:F14"/>
    <mergeCell ref="A15:F16"/>
    <mergeCell ref="A1:F1"/>
    <mergeCell ref="A11:E11"/>
    <mergeCell ref="A12:E12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fitToHeight="0" orientation="landscape" r:id="rId1"/>
  <headerFooter>
    <oddFooter>&amp;C&amp;"Arial,Normal"&amp;8Página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3"/>
  <sheetViews>
    <sheetView view="pageBreakPreview" zoomScaleNormal="100" zoomScaleSheetLayoutView="100" workbookViewId="0">
      <selection activeCell="E24" sqref="F24"/>
    </sheetView>
  </sheetViews>
  <sheetFormatPr defaultRowHeight="14.4" x14ac:dyDescent="0.3"/>
  <cols>
    <col min="1" max="1" width="6" customWidth="1"/>
    <col min="2" max="2" width="38.44140625" customWidth="1"/>
    <col min="3" max="3" width="9.21875" customWidth="1"/>
    <col min="5" max="5" width="13.109375" customWidth="1"/>
    <col min="6" max="6" width="13.88671875" customWidth="1"/>
  </cols>
  <sheetData>
    <row r="1" spans="1:6" ht="15" customHeight="1" x14ac:dyDescent="0.3">
      <c r="A1" s="169" t="s">
        <v>205</v>
      </c>
      <c r="B1" s="170"/>
      <c r="C1" s="170"/>
      <c r="D1" s="170"/>
      <c r="E1" s="170"/>
      <c r="F1" s="171"/>
    </row>
    <row r="2" spans="1:6" ht="15" customHeight="1" x14ac:dyDescent="0.3">
      <c r="A2" s="172" t="s">
        <v>110</v>
      </c>
      <c r="B2" s="173"/>
      <c r="C2" s="173"/>
      <c r="D2" s="173"/>
      <c r="E2" s="173"/>
      <c r="F2" s="173"/>
    </row>
    <row r="3" spans="1:6" ht="37.5" customHeight="1" x14ac:dyDescent="0.3">
      <c r="A3" s="50" t="s">
        <v>89</v>
      </c>
      <c r="B3" s="50" t="s">
        <v>91</v>
      </c>
      <c r="C3" s="76" t="s">
        <v>92</v>
      </c>
      <c r="D3" s="76" t="s">
        <v>98</v>
      </c>
      <c r="E3" s="50" t="s">
        <v>96</v>
      </c>
      <c r="F3" s="50" t="s">
        <v>97</v>
      </c>
    </row>
    <row r="4" spans="1:6" ht="15" customHeight="1" x14ac:dyDescent="0.3">
      <c r="A4" s="28">
        <f>1</f>
        <v>1</v>
      </c>
      <c r="B4" s="39" t="s">
        <v>149</v>
      </c>
      <c r="C4" s="28" t="s">
        <v>99</v>
      </c>
      <c r="D4" s="28">
        <v>1</v>
      </c>
      <c r="E4" s="46">
        <v>14.7</v>
      </c>
      <c r="F4" s="36">
        <f t="shared" ref="F4:F9" si="0">ROUND(D4*E4,2)</f>
        <v>14.7</v>
      </c>
    </row>
    <row r="5" spans="1:6" ht="15" customHeight="1" x14ac:dyDescent="0.3">
      <c r="A5" s="47">
        <f t="shared" ref="A5:A9" si="1">A4+1</f>
        <v>2</v>
      </c>
      <c r="B5" s="74" t="s">
        <v>153</v>
      </c>
      <c r="C5" s="47" t="s">
        <v>99</v>
      </c>
      <c r="D5" s="47">
        <v>1</v>
      </c>
      <c r="E5" s="77">
        <v>151.33000000000001</v>
      </c>
      <c r="F5" s="64">
        <f t="shared" si="0"/>
        <v>151.33000000000001</v>
      </c>
    </row>
    <row r="6" spans="1:6" ht="15" customHeight="1" x14ac:dyDescent="0.3">
      <c r="A6" s="34">
        <f>A5+1</f>
        <v>3</v>
      </c>
      <c r="B6" s="39" t="s">
        <v>173</v>
      </c>
      <c r="C6" s="34" t="s">
        <v>99</v>
      </c>
      <c r="D6" s="34">
        <v>1</v>
      </c>
      <c r="E6" s="46">
        <v>66.489999999999995</v>
      </c>
      <c r="F6" s="36">
        <f t="shared" ref="F6" si="2">ROUND(D6*E6,2)</f>
        <v>66.489999999999995</v>
      </c>
    </row>
    <row r="7" spans="1:6" ht="24" customHeight="1" x14ac:dyDescent="0.3">
      <c r="A7" s="47">
        <f>A6+1</f>
        <v>4</v>
      </c>
      <c r="B7" s="74" t="s">
        <v>195</v>
      </c>
      <c r="C7" s="47" t="s">
        <v>99</v>
      </c>
      <c r="D7" s="47">
        <v>1</v>
      </c>
      <c r="E7" s="77">
        <v>1770.6</v>
      </c>
      <c r="F7" s="64">
        <f t="shared" si="0"/>
        <v>1770.6</v>
      </c>
    </row>
    <row r="8" spans="1:6" ht="15" customHeight="1" x14ac:dyDescent="0.3">
      <c r="A8" s="28">
        <f t="shared" si="1"/>
        <v>5</v>
      </c>
      <c r="B8" s="39" t="s">
        <v>150</v>
      </c>
      <c r="C8" s="28" t="s">
        <v>99</v>
      </c>
      <c r="D8" s="28">
        <v>1</v>
      </c>
      <c r="E8" s="46">
        <v>13.71</v>
      </c>
      <c r="F8" s="36">
        <f t="shared" si="0"/>
        <v>13.71</v>
      </c>
    </row>
    <row r="9" spans="1:6" ht="15" customHeight="1" x14ac:dyDescent="0.3">
      <c r="A9" s="47">
        <f t="shared" si="1"/>
        <v>6</v>
      </c>
      <c r="B9" s="78" t="s">
        <v>172</v>
      </c>
      <c r="C9" s="47" t="s">
        <v>99</v>
      </c>
      <c r="D9" s="47">
        <v>1</v>
      </c>
      <c r="E9" s="79">
        <v>687.15</v>
      </c>
      <c r="F9" s="64">
        <f t="shared" si="0"/>
        <v>687.15</v>
      </c>
    </row>
    <row r="10" spans="1:6" ht="14.55" customHeight="1" x14ac:dyDescent="0.3">
      <c r="A10" s="123" t="s">
        <v>129</v>
      </c>
      <c r="B10" s="123"/>
      <c r="C10" s="123"/>
      <c r="D10" s="123"/>
      <c r="E10" s="122"/>
      <c r="F10" s="59">
        <f>ROUND(SUM(F4:F9),2)</f>
        <v>2703.98</v>
      </c>
    </row>
    <row r="11" spans="1:6" ht="27" customHeight="1" x14ac:dyDescent="0.3">
      <c r="A11" s="121" t="s">
        <v>130</v>
      </c>
      <c r="B11" s="123"/>
      <c r="C11" s="123"/>
      <c r="D11" s="123"/>
      <c r="E11" s="122"/>
      <c r="F11" s="59">
        <f>ROUND(0.6*83*F10/10000,2)</f>
        <v>13.47</v>
      </c>
    </row>
    <row r="12" spans="1:6" ht="27" customHeight="1" x14ac:dyDescent="0.3">
      <c r="A12" s="121" t="s">
        <v>131</v>
      </c>
      <c r="B12" s="123"/>
      <c r="C12" s="123"/>
      <c r="D12" s="123"/>
      <c r="E12" s="122"/>
      <c r="F12" s="59">
        <f>ROUND(F10*(1-0.2)/(12*8),2)</f>
        <v>22.53</v>
      </c>
    </row>
    <row r="13" spans="1:6" ht="27" customHeight="1" x14ac:dyDescent="0.3">
      <c r="A13" s="121" t="s">
        <v>132</v>
      </c>
      <c r="B13" s="123"/>
      <c r="C13" s="123"/>
      <c r="D13" s="123"/>
      <c r="E13" s="122"/>
      <c r="F13" s="59">
        <f>ROUND(F11+F12,2)</f>
        <v>36</v>
      </c>
    </row>
    <row r="14" spans="1:6" ht="4.95" customHeight="1" x14ac:dyDescent="0.3">
      <c r="A14" s="30"/>
      <c r="B14" s="30"/>
      <c r="C14" s="30"/>
      <c r="D14" s="30"/>
      <c r="E14" s="30"/>
      <c r="F14" s="13"/>
    </row>
    <row r="15" spans="1:6" ht="14.55" customHeight="1" x14ac:dyDescent="0.3">
      <c r="A15" s="86" t="s">
        <v>134</v>
      </c>
      <c r="B15" s="86"/>
      <c r="C15" s="86"/>
      <c r="D15" s="86"/>
      <c r="E15" s="86"/>
      <c r="F15" s="86"/>
    </row>
    <row r="16" spans="1:6" ht="14.55" customHeight="1" x14ac:dyDescent="0.3">
      <c r="A16" s="81" t="s">
        <v>194</v>
      </c>
      <c r="B16" s="81"/>
      <c r="C16" s="81"/>
      <c r="D16" s="81"/>
      <c r="E16" s="81"/>
      <c r="F16" s="81"/>
    </row>
    <row r="17" spans="1:6" x14ac:dyDescent="0.3">
      <c r="A17" s="81"/>
      <c r="B17" s="81"/>
      <c r="C17" s="81"/>
      <c r="D17" s="81"/>
      <c r="E17" s="81"/>
      <c r="F17" s="81"/>
    </row>
    <row r="18" spans="1:6" x14ac:dyDescent="0.3">
      <c r="A18" s="42"/>
      <c r="B18" s="43"/>
      <c r="C18" s="43"/>
      <c r="D18" s="43"/>
      <c r="E18" s="43"/>
      <c r="F18" s="7"/>
    </row>
    <row r="19" spans="1:6" ht="14.55" customHeight="1" x14ac:dyDescent="0.3">
      <c r="A19" s="102" t="s">
        <v>107</v>
      </c>
      <c r="B19" s="102"/>
      <c r="C19" s="102"/>
      <c r="D19" s="102"/>
      <c r="E19" s="102"/>
      <c r="F19" s="102"/>
    </row>
    <row r="20" spans="1:6" ht="100.05" customHeight="1" x14ac:dyDescent="0.3">
      <c r="A20" s="103" t="s">
        <v>122</v>
      </c>
      <c r="B20" s="103"/>
      <c r="C20" s="103"/>
      <c r="D20" s="103"/>
      <c r="E20" s="103"/>
      <c r="F20" s="103"/>
    </row>
    <row r="21" spans="1:6" x14ac:dyDescent="0.3">
      <c r="A21" s="7"/>
      <c r="B21" s="7"/>
      <c r="C21" s="7"/>
      <c r="D21" s="7"/>
      <c r="E21" s="7"/>
      <c r="F21" s="7"/>
    </row>
    <row r="22" spans="1:6" ht="14.55" customHeight="1" x14ac:dyDescent="0.3">
      <c r="A22" s="102" t="s">
        <v>108</v>
      </c>
      <c r="B22" s="102"/>
      <c r="C22" s="102"/>
      <c r="D22" s="102"/>
      <c r="E22" s="102"/>
      <c r="F22" s="102"/>
    </row>
    <row r="23" spans="1:6" ht="32.1" customHeight="1" x14ac:dyDescent="0.3">
      <c r="A23" s="103" t="s">
        <v>109</v>
      </c>
      <c r="B23" s="103"/>
      <c r="C23" s="103"/>
      <c r="D23" s="103"/>
      <c r="E23" s="103"/>
      <c r="F23" s="103"/>
    </row>
  </sheetData>
  <mergeCells count="12">
    <mergeCell ref="A1:F1"/>
    <mergeCell ref="A2:F2"/>
    <mergeCell ref="A22:F22"/>
    <mergeCell ref="A23:F23"/>
    <mergeCell ref="A10:E10"/>
    <mergeCell ref="A11:E11"/>
    <mergeCell ref="A12:E12"/>
    <mergeCell ref="A13:E13"/>
    <mergeCell ref="A15:F15"/>
    <mergeCell ref="A16:F17"/>
    <mergeCell ref="A19:F19"/>
    <mergeCell ref="A20:F20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fitToHeight="0" orientation="landscape" r:id="rId1"/>
  <headerFooter>
    <oddFooter>&amp;C&amp;"Arial,Normal"&amp;8Página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C2A1-6522-46A1-BA5C-132DD28DC732}">
  <sheetPr>
    <pageSetUpPr fitToPage="1"/>
  </sheetPr>
  <dimension ref="A1:E23"/>
  <sheetViews>
    <sheetView view="pageBreakPreview" zoomScaleNormal="100" zoomScaleSheetLayoutView="100" workbookViewId="0">
      <selection activeCell="E24" sqref="F24"/>
    </sheetView>
  </sheetViews>
  <sheetFormatPr defaultRowHeight="14.4" x14ac:dyDescent="0.3"/>
  <cols>
    <col min="1" max="1" width="24.21875" customWidth="1"/>
    <col min="2" max="2" width="17" customWidth="1"/>
    <col min="3" max="5" width="15.21875" customWidth="1"/>
  </cols>
  <sheetData>
    <row r="1" spans="1:5" ht="15" customHeight="1" x14ac:dyDescent="0.3">
      <c r="A1" s="169" t="s">
        <v>174</v>
      </c>
      <c r="B1" s="170"/>
      <c r="C1" s="170"/>
      <c r="D1" s="170"/>
      <c r="E1" s="171"/>
    </row>
    <row r="2" spans="1:5" ht="15" customHeight="1" x14ac:dyDescent="0.3">
      <c r="A2" s="124" t="s">
        <v>175</v>
      </c>
      <c r="B2" s="125"/>
      <c r="C2" s="125"/>
      <c r="D2" s="125"/>
      <c r="E2" s="126"/>
    </row>
    <row r="3" spans="1:5" ht="28.05" customHeight="1" x14ac:dyDescent="0.3">
      <c r="A3" s="50" t="s">
        <v>176</v>
      </c>
      <c r="B3" s="50" t="s">
        <v>177</v>
      </c>
      <c r="C3" s="50" t="s">
        <v>178</v>
      </c>
      <c r="D3" s="50" t="s">
        <v>179</v>
      </c>
      <c r="E3" s="50" t="s">
        <v>180</v>
      </c>
    </row>
    <row r="4" spans="1:5" ht="15" customHeight="1" x14ac:dyDescent="0.3">
      <c r="A4" s="41" t="s">
        <v>182</v>
      </c>
      <c r="B4" s="41">
        <v>2</v>
      </c>
      <c r="C4" s="41">
        <v>40</v>
      </c>
      <c r="D4" s="9">
        <f>'Agente Horas-Extras'!D93</f>
        <v>16.399999999999999</v>
      </c>
      <c r="E4" s="9">
        <f>ROUND(B4*C4*D4,2)</f>
        <v>1312</v>
      </c>
    </row>
    <row r="5" spans="1:5" ht="15" customHeight="1" x14ac:dyDescent="0.3">
      <c r="A5" s="137" t="s">
        <v>185</v>
      </c>
      <c r="B5" s="137"/>
      <c r="C5" s="137"/>
      <c r="D5" s="137"/>
      <c r="E5" s="59">
        <f>ROUND(SUM(E4),2)</f>
        <v>1312</v>
      </c>
    </row>
    <row r="6" spans="1:5" ht="4.95" customHeight="1" x14ac:dyDescent="0.3">
      <c r="A6" s="174"/>
      <c r="B6" s="174"/>
      <c r="C6" s="174"/>
      <c r="D6" s="174"/>
      <c r="E6" s="174"/>
    </row>
    <row r="7" spans="1:5" ht="15" customHeight="1" x14ac:dyDescent="0.3">
      <c r="A7" s="124" t="s">
        <v>181</v>
      </c>
      <c r="B7" s="125"/>
      <c r="C7" s="125"/>
      <c r="D7" s="125"/>
      <c r="E7" s="126"/>
    </row>
    <row r="8" spans="1:5" ht="28.5" customHeight="1" x14ac:dyDescent="0.3">
      <c r="A8" s="50" t="s">
        <v>176</v>
      </c>
      <c r="B8" s="50" t="s">
        <v>177</v>
      </c>
      <c r="C8" s="50" t="s">
        <v>178</v>
      </c>
      <c r="D8" s="50" t="s">
        <v>179</v>
      </c>
      <c r="E8" s="50" t="s">
        <v>180</v>
      </c>
    </row>
    <row r="9" spans="1:5" ht="15" customHeight="1" x14ac:dyDescent="0.3">
      <c r="A9" s="41" t="s">
        <v>182</v>
      </c>
      <c r="B9" s="41">
        <v>2</v>
      </c>
      <c r="C9" s="41">
        <v>20</v>
      </c>
      <c r="D9" s="9">
        <f>'Agente Horas-Extras'!D94</f>
        <v>21.86</v>
      </c>
      <c r="E9" s="9">
        <f>ROUND(B9*C9*D9,2)</f>
        <v>874.4</v>
      </c>
    </row>
    <row r="10" spans="1:5" ht="15" customHeight="1" x14ac:dyDescent="0.3">
      <c r="A10" s="137" t="s">
        <v>186</v>
      </c>
      <c r="B10" s="137"/>
      <c r="C10" s="137"/>
      <c r="D10" s="137"/>
      <c r="E10" s="59">
        <f>ROUND(SUM(E9),2)</f>
        <v>874.4</v>
      </c>
    </row>
    <row r="11" spans="1:5" ht="15" customHeight="1" x14ac:dyDescent="0.3">
      <c r="A11" s="137" t="s">
        <v>183</v>
      </c>
      <c r="B11" s="137"/>
      <c r="C11" s="137"/>
      <c r="D11" s="137"/>
      <c r="E11" s="59">
        <f>ROUND(E5+E10,2)</f>
        <v>2186.4</v>
      </c>
    </row>
    <row r="12" spans="1:5" ht="15" customHeight="1" x14ac:dyDescent="0.3">
      <c r="A12" s="137" t="s">
        <v>184</v>
      </c>
      <c r="B12" s="137"/>
      <c r="C12" s="137"/>
      <c r="D12" s="137"/>
      <c r="E12" s="59">
        <f>ROUND(E11/12,2)</f>
        <v>182.2</v>
      </c>
    </row>
    <row r="13" spans="1:5" ht="27" customHeight="1" x14ac:dyDescent="0.3">
      <c r="A13" s="40"/>
      <c r="B13" s="40"/>
      <c r="C13" s="40"/>
      <c r="D13" s="40"/>
      <c r="E13" s="40"/>
    </row>
    <row r="14" spans="1:5" ht="4.95" customHeight="1" x14ac:dyDescent="0.3">
      <c r="A14" s="40"/>
      <c r="B14" s="40"/>
      <c r="C14" s="40"/>
      <c r="D14" s="40"/>
      <c r="E14" s="40"/>
    </row>
    <row r="15" spans="1:5" ht="14.55" customHeight="1" x14ac:dyDescent="0.3">
      <c r="A15" s="40"/>
      <c r="B15" s="40"/>
      <c r="C15" s="40"/>
      <c r="D15" s="40"/>
      <c r="E15" s="40"/>
    </row>
    <row r="16" spans="1:5" ht="14.55" customHeight="1" x14ac:dyDescent="0.3">
      <c r="A16" s="40"/>
      <c r="B16" s="40"/>
      <c r="C16" s="40"/>
      <c r="D16" s="40"/>
      <c r="E16" s="40"/>
    </row>
    <row r="17" spans="1:5" x14ac:dyDescent="0.3">
      <c r="A17" s="40"/>
      <c r="B17" s="40"/>
      <c r="C17" s="40"/>
      <c r="D17" s="40"/>
      <c r="E17" s="40"/>
    </row>
    <row r="18" spans="1:5" x14ac:dyDescent="0.3">
      <c r="A18" s="40"/>
      <c r="B18" s="40"/>
      <c r="C18" s="40"/>
      <c r="D18" s="40"/>
      <c r="E18" s="40"/>
    </row>
    <row r="19" spans="1:5" x14ac:dyDescent="0.3">
      <c r="A19" s="40"/>
      <c r="B19" s="40"/>
      <c r="C19" s="40"/>
      <c r="D19" s="40"/>
      <c r="E19" s="40"/>
    </row>
    <row r="20" spans="1:5" ht="100.05" customHeight="1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ht="32.1" customHeight="1" x14ac:dyDescent="0.3">
      <c r="A23" s="40"/>
      <c r="B23" s="40"/>
      <c r="C23" s="40"/>
      <c r="D23" s="40"/>
      <c r="E23" s="40"/>
    </row>
  </sheetData>
  <mergeCells count="8">
    <mergeCell ref="A12:D12"/>
    <mergeCell ref="A1:E1"/>
    <mergeCell ref="A2:E2"/>
    <mergeCell ref="A7:E7"/>
    <mergeCell ref="A10:D10"/>
    <mergeCell ref="A11:D11"/>
    <mergeCell ref="A5:D5"/>
    <mergeCell ref="A6:E6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fitToHeight="0" orientation="landscape" r:id="rId1"/>
  <headerFooter>
    <oddFooter>&amp;C&amp;"Arial,Normal"&amp;8Página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612E-BAEF-4BD2-87B1-E18CA09989B0}">
  <sheetPr>
    <pageSetUpPr fitToPage="1"/>
  </sheetPr>
  <dimension ref="A1:D103"/>
  <sheetViews>
    <sheetView tabSelected="1" view="pageBreakPreview" zoomScaleNormal="100" zoomScaleSheetLayoutView="100" workbookViewId="0">
      <selection activeCell="E7" sqref="E1:Q1048576"/>
    </sheetView>
  </sheetViews>
  <sheetFormatPr defaultRowHeight="14.4" x14ac:dyDescent="0.3"/>
  <cols>
    <col min="1" max="1" width="33.44140625" customWidth="1"/>
    <col min="2" max="2" width="14.5546875" customWidth="1"/>
    <col min="3" max="3" width="10.77734375" customWidth="1"/>
    <col min="4" max="4" width="12.21875" customWidth="1"/>
  </cols>
  <sheetData>
    <row r="1" spans="1:4" ht="30" customHeight="1" x14ac:dyDescent="0.3">
      <c r="A1" s="144" t="s">
        <v>187</v>
      </c>
      <c r="B1" s="144"/>
      <c r="C1" s="144"/>
      <c r="D1" s="144"/>
    </row>
    <row r="2" spans="1:4" x14ac:dyDescent="0.3">
      <c r="A2" s="53" t="s">
        <v>2</v>
      </c>
      <c r="B2" s="104" t="s">
        <v>159</v>
      </c>
      <c r="C2" s="104"/>
      <c r="D2" s="104"/>
    </row>
    <row r="3" spans="1:4" ht="15" customHeight="1" x14ac:dyDescent="0.3">
      <c r="A3" s="53" t="s">
        <v>100</v>
      </c>
      <c r="B3" s="138" t="s">
        <v>160</v>
      </c>
      <c r="C3" s="138"/>
      <c r="D3" s="138"/>
    </row>
    <row r="4" spans="1:4" ht="15" customHeight="1" x14ac:dyDescent="0.3">
      <c r="A4" s="54" t="s">
        <v>1</v>
      </c>
      <c r="B4" s="104" t="s">
        <v>136</v>
      </c>
      <c r="C4" s="104"/>
      <c r="D4" s="104"/>
    </row>
    <row r="5" spans="1:4" ht="26.4" x14ac:dyDescent="0.3">
      <c r="A5" s="54" t="s">
        <v>3</v>
      </c>
      <c r="B5" s="138">
        <v>1</v>
      </c>
      <c r="C5" s="138"/>
      <c r="D5" s="138"/>
    </row>
    <row r="6" spans="1:4" ht="65.55" customHeight="1" x14ac:dyDescent="0.3">
      <c r="A6" s="54" t="s">
        <v>101</v>
      </c>
      <c r="B6" s="104" t="s">
        <v>207</v>
      </c>
      <c r="C6" s="104"/>
      <c r="D6" s="104"/>
    </row>
    <row r="7" spans="1:4" ht="21" customHeight="1" x14ac:dyDescent="0.3">
      <c r="A7" s="5"/>
      <c r="B7" s="29"/>
      <c r="C7" s="7"/>
      <c r="D7" s="7"/>
    </row>
    <row r="8" spans="1:4" x14ac:dyDescent="0.3">
      <c r="A8" s="8"/>
      <c r="B8" s="8"/>
      <c r="C8" s="8"/>
      <c r="D8" s="8"/>
    </row>
    <row r="9" spans="1:4" x14ac:dyDescent="0.3">
      <c r="A9" s="154" t="s">
        <v>4</v>
      </c>
      <c r="B9" s="154"/>
      <c r="C9" s="154"/>
      <c r="D9" s="154"/>
    </row>
    <row r="10" spans="1:4" x14ac:dyDescent="0.3">
      <c r="A10" s="155" t="s">
        <v>139</v>
      </c>
      <c r="B10" s="156"/>
      <c r="C10" s="156"/>
      <c r="D10" s="157"/>
    </row>
    <row r="11" spans="1:4" x14ac:dyDescent="0.3">
      <c r="A11" s="159" t="s">
        <v>5</v>
      </c>
      <c r="B11" s="160"/>
      <c r="C11" s="50" t="s">
        <v>6</v>
      </c>
      <c r="D11" s="50" t="s">
        <v>7</v>
      </c>
    </row>
    <row r="12" spans="1:4" ht="40.5" customHeight="1" x14ac:dyDescent="0.3">
      <c r="A12" s="127" t="s">
        <v>8</v>
      </c>
      <c r="B12" s="128"/>
      <c r="C12" s="34" t="s">
        <v>90</v>
      </c>
      <c r="D12" s="9">
        <v>1200</v>
      </c>
    </row>
    <row r="13" spans="1:4" ht="15" customHeight="1" x14ac:dyDescent="0.3">
      <c r="A13" s="112" t="s">
        <v>115</v>
      </c>
      <c r="B13" s="114"/>
      <c r="C13" s="72"/>
      <c r="D13" s="62">
        <f>C13*D12/100</f>
        <v>0</v>
      </c>
    </row>
    <row r="14" spans="1:4" x14ac:dyDescent="0.3">
      <c r="A14" s="137" t="s">
        <v>30</v>
      </c>
      <c r="B14" s="137"/>
      <c r="C14" s="137"/>
      <c r="D14" s="59">
        <f>ROUND(SUM(D12:D13),2)</f>
        <v>1200</v>
      </c>
    </row>
    <row r="15" spans="1:4" x14ac:dyDescent="0.3">
      <c r="A15" s="7"/>
      <c r="B15" s="7"/>
      <c r="C15" s="7"/>
      <c r="D15" s="7"/>
    </row>
    <row r="16" spans="1:4" x14ac:dyDescent="0.3">
      <c r="A16" s="102" t="s">
        <v>140</v>
      </c>
      <c r="B16" s="102"/>
      <c r="C16" s="102"/>
      <c r="D16" s="102"/>
    </row>
    <row r="17" spans="1:4" x14ac:dyDescent="0.3">
      <c r="A17" s="102" t="s">
        <v>20</v>
      </c>
      <c r="B17" s="102"/>
      <c r="C17" s="50" t="s">
        <v>6</v>
      </c>
      <c r="D17" s="50" t="s">
        <v>7</v>
      </c>
    </row>
    <row r="18" spans="1:4" x14ac:dyDescent="0.3">
      <c r="A18" s="127" t="s">
        <v>21</v>
      </c>
      <c r="B18" s="128"/>
      <c r="C18" s="19">
        <v>0.2</v>
      </c>
      <c r="D18" s="10">
        <f>ROUND($D$14*C18,2)</f>
        <v>240</v>
      </c>
    </row>
    <row r="19" spans="1:4" x14ac:dyDescent="0.3">
      <c r="A19" s="115" t="s">
        <v>22</v>
      </c>
      <c r="B19" s="117"/>
      <c r="C19" s="71">
        <v>0.08</v>
      </c>
      <c r="D19" s="62">
        <f t="shared" ref="D19:D25" si="0">ROUND($D$14*C19,2)</f>
        <v>96</v>
      </c>
    </row>
    <row r="20" spans="1:4" x14ac:dyDescent="0.3">
      <c r="A20" s="127" t="s">
        <v>23</v>
      </c>
      <c r="B20" s="128"/>
      <c r="C20" s="19">
        <v>1.4999999999999999E-2</v>
      </c>
      <c r="D20" s="10">
        <f t="shared" si="0"/>
        <v>18</v>
      </c>
    </row>
    <row r="21" spans="1:4" ht="25.5" customHeight="1" x14ac:dyDescent="0.3">
      <c r="A21" s="115" t="s">
        <v>24</v>
      </c>
      <c r="B21" s="117"/>
      <c r="C21" s="71">
        <v>0.01</v>
      </c>
      <c r="D21" s="62">
        <f t="shared" si="0"/>
        <v>12</v>
      </c>
    </row>
    <row r="22" spans="1:4" ht="28.5" customHeight="1" x14ac:dyDescent="0.3">
      <c r="A22" s="127" t="s">
        <v>25</v>
      </c>
      <c r="B22" s="128"/>
      <c r="C22" s="19">
        <v>2E-3</v>
      </c>
      <c r="D22" s="10">
        <f t="shared" si="0"/>
        <v>2.4</v>
      </c>
    </row>
    <row r="23" spans="1:4" x14ac:dyDescent="0.3">
      <c r="A23" s="115" t="s">
        <v>26</v>
      </c>
      <c r="B23" s="117"/>
      <c r="C23" s="71">
        <v>6.0000000000000001E-3</v>
      </c>
      <c r="D23" s="62">
        <f t="shared" si="0"/>
        <v>7.2</v>
      </c>
    </row>
    <row r="24" spans="1:4" x14ac:dyDescent="0.3">
      <c r="A24" s="142" t="s">
        <v>27</v>
      </c>
      <c r="B24" s="143"/>
      <c r="C24" s="19">
        <v>2.5000000000000001E-2</v>
      </c>
      <c r="D24" s="10">
        <f t="shared" si="0"/>
        <v>30</v>
      </c>
    </row>
    <row r="25" spans="1:4" ht="39.75" customHeight="1" x14ac:dyDescent="0.3">
      <c r="A25" s="112" t="s">
        <v>28</v>
      </c>
      <c r="B25" s="114"/>
      <c r="C25" s="68">
        <v>0.06</v>
      </c>
      <c r="D25" s="62">
        <f t="shared" si="0"/>
        <v>72</v>
      </c>
    </row>
    <row r="26" spans="1:4" x14ac:dyDescent="0.3">
      <c r="A26" s="121" t="s">
        <v>29</v>
      </c>
      <c r="B26" s="122"/>
      <c r="C26" s="60">
        <f>ROUND(SUM(C18:C25),5)</f>
        <v>0.39800000000000002</v>
      </c>
      <c r="D26" s="59">
        <f>ROUND(SUM(D18:D25),2)</f>
        <v>477.6</v>
      </c>
    </row>
    <row r="27" spans="1:4" x14ac:dyDescent="0.3">
      <c r="A27" s="38"/>
      <c r="B27" s="38"/>
      <c r="C27" s="12"/>
      <c r="D27" s="13"/>
    </row>
    <row r="28" spans="1:4" x14ac:dyDescent="0.3">
      <c r="A28" s="102" t="s">
        <v>31</v>
      </c>
      <c r="B28" s="102"/>
      <c r="C28" s="50" t="s">
        <v>6</v>
      </c>
      <c r="D28" s="50" t="s">
        <v>7</v>
      </c>
    </row>
    <row r="29" spans="1:4" ht="35.1" customHeight="1" x14ac:dyDescent="0.3">
      <c r="A29" s="142" t="s">
        <v>32</v>
      </c>
      <c r="B29" s="143"/>
      <c r="C29" s="17">
        <f>ROUND(1/12,5)</f>
        <v>8.3330000000000001E-2</v>
      </c>
      <c r="D29" s="10">
        <f>ROUND($D$14*C29,2)</f>
        <v>100</v>
      </c>
    </row>
    <row r="30" spans="1:4" ht="35.1" customHeight="1" x14ac:dyDescent="0.3">
      <c r="A30" s="115" t="s">
        <v>33</v>
      </c>
      <c r="B30" s="117"/>
      <c r="C30" s="70">
        <f>ROUND((1/12),5)</f>
        <v>8.3330000000000001E-2</v>
      </c>
      <c r="D30" s="62">
        <f t="shared" ref="D30:D36" si="1">ROUND($D$14*C30,2)</f>
        <v>100</v>
      </c>
    </row>
    <row r="31" spans="1:4" ht="35.1" customHeight="1" x14ac:dyDescent="0.3">
      <c r="A31" s="127" t="s">
        <v>34</v>
      </c>
      <c r="B31" s="128"/>
      <c r="C31" s="18">
        <f>ROUND((((100% / 30) * 7) / 12),5)</f>
        <v>1.9439999999999999E-2</v>
      </c>
      <c r="D31" s="10">
        <f t="shared" si="1"/>
        <v>23.33</v>
      </c>
    </row>
    <row r="32" spans="1:4" ht="39.6" customHeight="1" x14ac:dyDescent="0.3">
      <c r="A32" s="115" t="s">
        <v>35</v>
      </c>
      <c r="B32" s="117"/>
      <c r="C32" s="70">
        <f>ROUND((1462463/54796761)/12,5)</f>
        <v>2.2200000000000002E-3</v>
      </c>
      <c r="D32" s="62">
        <f t="shared" si="1"/>
        <v>2.66</v>
      </c>
    </row>
    <row r="33" spans="1:4" ht="35.1" customHeight="1" x14ac:dyDescent="0.3">
      <c r="A33" s="127" t="s">
        <v>36</v>
      </c>
      <c r="B33" s="128"/>
      <c r="C33" s="18">
        <f>ROUND((((100% /30) * 15) / 12) * 1.22%,5)</f>
        <v>5.1000000000000004E-4</v>
      </c>
      <c r="D33" s="10">
        <f t="shared" si="1"/>
        <v>0.61</v>
      </c>
    </row>
    <row r="34" spans="1:4" ht="35.1" customHeight="1" x14ac:dyDescent="0.3">
      <c r="A34" s="115" t="s">
        <v>37</v>
      </c>
      <c r="B34" s="117"/>
      <c r="C34" s="70">
        <f>ROUND(((100%/30)*1.4947)/12,5)</f>
        <v>4.15E-3</v>
      </c>
      <c r="D34" s="62">
        <f t="shared" si="1"/>
        <v>4.9800000000000004</v>
      </c>
    </row>
    <row r="35" spans="1:4" ht="35.1" customHeight="1" x14ac:dyDescent="0.3">
      <c r="A35" s="127" t="s">
        <v>38</v>
      </c>
      <c r="B35" s="128"/>
      <c r="C35" s="18">
        <f>ROUND((8.333%*1.416%*4/12),5)</f>
        <v>3.8999999999999999E-4</v>
      </c>
      <c r="D35" s="10">
        <f t="shared" si="1"/>
        <v>0.47</v>
      </c>
    </row>
    <row r="36" spans="1:4" ht="35.1" customHeight="1" x14ac:dyDescent="0.3">
      <c r="A36" s="115" t="s">
        <v>39</v>
      </c>
      <c r="B36" s="117"/>
      <c r="C36" s="70">
        <f>ROUND((((100%/30)*5)/12)*1.416%,5)</f>
        <v>2.0000000000000001E-4</v>
      </c>
      <c r="D36" s="62">
        <f t="shared" si="1"/>
        <v>0.24</v>
      </c>
    </row>
    <row r="37" spans="1:4" x14ac:dyDescent="0.3">
      <c r="A37" s="121" t="s">
        <v>40</v>
      </c>
      <c r="B37" s="122"/>
      <c r="C37" s="60">
        <f>ROUND(SUM(C29:C36),5)</f>
        <v>0.19356999999999999</v>
      </c>
      <c r="D37" s="59">
        <f>ROUND(SUM(D29:D36),2)</f>
        <v>232.29</v>
      </c>
    </row>
    <row r="38" spans="1:4" x14ac:dyDescent="0.3">
      <c r="A38" s="38"/>
      <c r="B38" s="38"/>
      <c r="C38" s="14"/>
      <c r="D38" s="13"/>
    </row>
    <row r="39" spans="1:4" x14ac:dyDescent="0.3">
      <c r="A39" s="124" t="s">
        <v>48</v>
      </c>
      <c r="B39" s="126"/>
      <c r="C39" s="50" t="s">
        <v>6</v>
      </c>
      <c r="D39" s="50" t="s">
        <v>7</v>
      </c>
    </row>
    <row r="40" spans="1:4" ht="23.1" customHeight="1" x14ac:dyDescent="0.3">
      <c r="A40" s="127" t="s">
        <v>49</v>
      </c>
      <c r="B40" s="128"/>
      <c r="C40" s="21">
        <f>ROUND(1/12*5%,5)</f>
        <v>4.1700000000000001E-3</v>
      </c>
      <c r="D40" s="10">
        <f>ROUND($D$14*C40,2)</f>
        <v>5</v>
      </c>
    </row>
    <row r="41" spans="1:4" ht="23.1" customHeight="1" x14ac:dyDescent="0.3">
      <c r="A41" s="115" t="s">
        <v>50</v>
      </c>
      <c r="B41" s="117"/>
      <c r="C41" s="68">
        <f>ROUND(1/12*3.4275%,5)</f>
        <v>2.8600000000000001E-3</v>
      </c>
      <c r="D41" s="62">
        <f>ROUND($D$14*C41,2)</f>
        <v>3.43</v>
      </c>
    </row>
    <row r="42" spans="1:4" ht="23.1" customHeight="1" x14ac:dyDescent="0.3">
      <c r="A42" s="127" t="s">
        <v>51</v>
      </c>
      <c r="B42" s="128"/>
      <c r="C42" s="22">
        <f>ROUND(40%*8%,5)</f>
        <v>3.2000000000000001E-2</v>
      </c>
      <c r="D42" s="10">
        <f>ROUND($D$14*C42,2)</f>
        <v>38.4</v>
      </c>
    </row>
    <row r="43" spans="1:4" ht="23.1" customHeight="1" x14ac:dyDescent="0.3">
      <c r="A43" s="115" t="s">
        <v>116</v>
      </c>
      <c r="B43" s="117"/>
      <c r="C43" s="69">
        <f>ROUND(1/3*1/12,5)</f>
        <v>2.7779999999999999E-2</v>
      </c>
      <c r="D43" s="62">
        <f>ROUND($D$14*C43,2)</f>
        <v>33.340000000000003</v>
      </c>
    </row>
    <row r="44" spans="1:4" ht="23.1" customHeight="1" x14ac:dyDescent="0.3">
      <c r="A44" s="127" t="s">
        <v>117</v>
      </c>
      <c r="B44" s="128"/>
      <c r="C44" s="23">
        <f>ROUND(1/3*C35,5)</f>
        <v>1.2999999999999999E-4</v>
      </c>
      <c r="D44" s="10">
        <f>ROUND($D$14*C44,2)</f>
        <v>0.16</v>
      </c>
    </row>
    <row r="45" spans="1:4" x14ac:dyDescent="0.3">
      <c r="A45" s="121" t="s">
        <v>52</v>
      </c>
      <c r="B45" s="122"/>
      <c r="C45" s="60">
        <f>ROUND(SUM(C40:C44),5)</f>
        <v>6.694E-2</v>
      </c>
      <c r="D45" s="59">
        <f>ROUND(SUM(D40:D44),2)</f>
        <v>80.33</v>
      </c>
    </row>
    <row r="46" spans="1:4" x14ac:dyDescent="0.3">
      <c r="A46" s="38"/>
      <c r="B46" s="38"/>
      <c r="C46" s="14"/>
      <c r="D46" s="13"/>
    </row>
    <row r="47" spans="1:4" x14ac:dyDescent="0.3">
      <c r="A47" s="124" t="s">
        <v>58</v>
      </c>
      <c r="B47" s="126"/>
      <c r="C47" s="50" t="s">
        <v>6</v>
      </c>
      <c r="D47" s="50" t="s">
        <v>7</v>
      </c>
    </row>
    <row r="48" spans="1:4" ht="14.55" customHeight="1" x14ac:dyDescent="0.3">
      <c r="A48" s="127" t="s">
        <v>59</v>
      </c>
      <c r="B48" s="128"/>
      <c r="C48" s="25">
        <f>ROUND(C26*C37,5)</f>
        <v>7.7039999999999997E-2</v>
      </c>
      <c r="D48" s="10">
        <f>ROUND($D$14*C48,2)</f>
        <v>92.45</v>
      </c>
    </row>
    <row r="49" spans="1:4" x14ac:dyDescent="0.3">
      <c r="A49" s="121" t="s">
        <v>60</v>
      </c>
      <c r="B49" s="122"/>
      <c r="C49" s="60">
        <f>ROUND(SUM(C48),5)</f>
        <v>7.7039999999999997E-2</v>
      </c>
      <c r="D49" s="59">
        <f>ROUND(SUM(D48),2)</f>
        <v>92.45</v>
      </c>
    </row>
    <row r="50" spans="1:4" x14ac:dyDescent="0.3">
      <c r="A50" s="38"/>
      <c r="B50" s="38"/>
      <c r="C50" s="14"/>
      <c r="D50" s="13"/>
    </row>
    <row r="51" spans="1:4" x14ac:dyDescent="0.3">
      <c r="A51" s="124" t="s">
        <v>61</v>
      </c>
      <c r="B51" s="126"/>
      <c r="C51" s="50" t="s">
        <v>6</v>
      </c>
      <c r="D51" s="50" t="s">
        <v>7</v>
      </c>
    </row>
    <row r="52" spans="1:4" ht="28.5" customHeight="1" x14ac:dyDescent="0.3">
      <c r="A52" s="127" t="s">
        <v>62</v>
      </c>
      <c r="B52" s="128"/>
      <c r="C52" s="26">
        <f>ROUND(8%*C40,5)</f>
        <v>3.3E-4</v>
      </c>
      <c r="D52" s="10">
        <f>ROUND($D$14*C52,2)</f>
        <v>0.4</v>
      </c>
    </row>
    <row r="53" spans="1:4" ht="38.549999999999997" customHeight="1" x14ac:dyDescent="0.3">
      <c r="A53" s="115" t="s">
        <v>63</v>
      </c>
      <c r="B53" s="117"/>
      <c r="C53" s="67">
        <f>ROUND(8%*C33,5)</f>
        <v>4.0000000000000003E-5</v>
      </c>
      <c r="D53" s="62">
        <f>ROUND($D$14*C53,2)</f>
        <v>0.05</v>
      </c>
    </row>
    <row r="54" spans="1:4" ht="30.75" customHeight="1" x14ac:dyDescent="0.3">
      <c r="A54" s="127" t="s">
        <v>64</v>
      </c>
      <c r="B54" s="128"/>
      <c r="C54" s="20">
        <f>ROUND(C19*C43,5)</f>
        <v>2.2200000000000002E-3</v>
      </c>
      <c r="D54" s="10">
        <f>ROUND($D$14*C54,2)</f>
        <v>2.66</v>
      </c>
    </row>
    <row r="55" spans="1:4" x14ac:dyDescent="0.3">
      <c r="A55" s="121" t="s">
        <v>65</v>
      </c>
      <c r="B55" s="122"/>
      <c r="C55" s="60">
        <f>ROUND(SUM(C52:C54),5)</f>
        <v>2.5899999999999999E-3</v>
      </c>
      <c r="D55" s="59">
        <f>ROUND(SUM(D52:D54),2)</f>
        <v>3.11</v>
      </c>
    </row>
    <row r="56" spans="1:4" x14ac:dyDescent="0.3">
      <c r="A56" s="38"/>
      <c r="B56" s="38"/>
      <c r="C56" s="14"/>
      <c r="D56" s="13"/>
    </row>
    <row r="57" spans="1:4" x14ac:dyDescent="0.3">
      <c r="A57" s="124" t="s">
        <v>68</v>
      </c>
      <c r="B57" s="126"/>
      <c r="C57" s="50" t="s">
        <v>6</v>
      </c>
      <c r="D57" s="50" t="s">
        <v>7</v>
      </c>
    </row>
    <row r="58" spans="1:4" ht="93" customHeight="1" x14ac:dyDescent="0.3">
      <c r="A58" s="127" t="s">
        <v>69</v>
      </c>
      <c r="B58" s="128"/>
      <c r="C58" s="25">
        <f>ROUND(C26*(4/12)*2/100,5)</f>
        <v>2.65E-3</v>
      </c>
      <c r="D58" s="10">
        <f>ROUND($D$14*C58,2)</f>
        <v>3.18</v>
      </c>
    </row>
    <row r="59" spans="1:4" x14ac:dyDescent="0.3">
      <c r="A59" s="121" t="s">
        <v>70</v>
      </c>
      <c r="B59" s="122"/>
      <c r="C59" s="60">
        <f>ROUND(SUM(C58),5)</f>
        <v>2.65E-3</v>
      </c>
      <c r="D59" s="59">
        <f>ROUND(SUM(D58),2)</f>
        <v>3.18</v>
      </c>
    </row>
    <row r="60" spans="1:4" x14ac:dyDescent="0.3">
      <c r="A60" s="121" t="s">
        <v>71</v>
      </c>
      <c r="B60" s="122"/>
      <c r="C60" s="60">
        <f>ROUND(C26+C37+C45+C49+C55+C59,5)</f>
        <v>0.74078999999999995</v>
      </c>
      <c r="D60" s="59">
        <f>ROUND(D26+D37+D45+D49+D55+D59,2)</f>
        <v>888.96</v>
      </c>
    </row>
    <row r="61" spans="1:4" ht="15" customHeight="1" x14ac:dyDescent="0.3">
      <c r="A61" s="38"/>
      <c r="B61" s="38"/>
      <c r="C61" s="14"/>
      <c r="D61" s="13"/>
    </row>
    <row r="62" spans="1:4" ht="15" customHeight="1" x14ac:dyDescent="0.3">
      <c r="A62" s="175" t="s">
        <v>72</v>
      </c>
      <c r="B62" s="176"/>
      <c r="C62" s="177"/>
      <c r="D62" s="37">
        <f>D14+D60</f>
        <v>2088.96</v>
      </c>
    </row>
    <row r="63" spans="1:4" ht="15" customHeight="1" x14ac:dyDescent="0.3">
      <c r="A63" s="7"/>
      <c r="B63" s="7"/>
      <c r="C63" s="7"/>
      <c r="D63" s="7"/>
    </row>
    <row r="64" spans="1:4" ht="15" customHeight="1" x14ac:dyDescent="0.3">
      <c r="A64" s="102" t="s">
        <v>141</v>
      </c>
      <c r="B64" s="102"/>
      <c r="C64" s="102"/>
      <c r="D64" s="102"/>
    </row>
    <row r="65" spans="1:4" x14ac:dyDescent="0.3">
      <c r="A65" s="159" t="s">
        <v>73</v>
      </c>
      <c r="B65" s="178"/>
      <c r="C65" s="160"/>
      <c r="D65" s="55" t="s">
        <v>7</v>
      </c>
    </row>
    <row r="66" spans="1:4" ht="154.5" customHeight="1" x14ac:dyDescent="0.3">
      <c r="A66" s="142" t="s">
        <v>102</v>
      </c>
      <c r="B66" s="164"/>
      <c r="C66" s="143"/>
      <c r="D66" s="9">
        <f>ROUND(20.5*4,2)</f>
        <v>82</v>
      </c>
    </row>
    <row r="67" spans="1:4" ht="66.45" customHeight="1" x14ac:dyDescent="0.3">
      <c r="A67" s="109" t="s">
        <v>163</v>
      </c>
      <c r="B67" s="110"/>
      <c r="C67" s="111"/>
      <c r="D67" s="65">
        <f>ROUND(($D$66*5%)*-1,2)</f>
        <v>-4.0999999999999996</v>
      </c>
    </row>
    <row r="68" spans="1:4" ht="53.55" customHeight="1" x14ac:dyDescent="0.3">
      <c r="A68" s="142" t="s">
        <v>75</v>
      </c>
      <c r="B68" s="164"/>
      <c r="C68" s="143"/>
      <c r="D68" s="10">
        <f>ROUND(3.8*2*4,2)</f>
        <v>30.4</v>
      </c>
    </row>
    <row r="69" spans="1:4" ht="15" customHeight="1" x14ac:dyDescent="0.3">
      <c r="A69" s="137" t="s">
        <v>77</v>
      </c>
      <c r="B69" s="137"/>
      <c r="C69" s="137"/>
      <c r="D69" s="59">
        <f>ROUND(SUM(D66:D68),2)</f>
        <v>108.3</v>
      </c>
    </row>
    <row r="70" spans="1:4" x14ac:dyDescent="0.3">
      <c r="A70" s="38"/>
      <c r="B70" s="38"/>
      <c r="C70" s="38"/>
      <c r="D70" s="13"/>
    </row>
    <row r="71" spans="1:4" ht="30" customHeight="1" x14ac:dyDescent="0.3">
      <c r="A71" s="121" t="s">
        <v>79</v>
      </c>
      <c r="B71" s="123"/>
      <c r="C71" s="122"/>
      <c r="D71" s="59">
        <f>ROUND(D62+D69,2)</f>
        <v>2197.2600000000002</v>
      </c>
    </row>
    <row r="72" spans="1:4" x14ac:dyDescent="0.3">
      <c r="A72" s="38"/>
      <c r="B72" s="38"/>
      <c r="C72" s="38"/>
      <c r="D72" s="13"/>
    </row>
    <row r="73" spans="1:4" x14ac:dyDescent="0.3">
      <c r="A73" s="102" t="s">
        <v>206</v>
      </c>
      <c r="B73" s="102"/>
      <c r="C73" s="102"/>
      <c r="D73" s="102"/>
    </row>
    <row r="74" spans="1:4" x14ac:dyDescent="0.3">
      <c r="A74" s="124" t="s">
        <v>80</v>
      </c>
      <c r="B74" s="126"/>
      <c r="C74" s="50" t="s">
        <v>6</v>
      </c>
      <c r="D74" s="50" t="s">
        <v>7</v>
      </c>
    </row>
    <row r="75" spans="1:4" s="1" customFormat="1" ht="15" customHeight="1" x14ac:dyDescent="0.3">
      <c r="A75" s="127" t="s">
        <v>81</v>
      </c>
      <c r="B75" s="128"/>
      <c r="C75" s="24">
        <v>0</v>
      </c>
      <c r="D75" s="36">
        <f>ROUND(D71*C75,2)</f>
        <v>0</v>
      </c>
    </row>
    <row r="76" spans="1:4" s="1" customFormat="1" ht="15" customHeight="1" x14ac:dyDescent="0.3">
      <c r="A76" s="115" t="s">
        <v>9</v>
      </c>
      <c r="B76" s="117"/>
      <c r="C76" s="61">
        <v>0</v>
      </c>
      <c r="D76" s="64">
        <f>ROUND(D71*C76,2)</f>
        <v>0</v>
      </c>
    </row>
    <row r="77" spans="1:4" x14ac:dyDescent="0.3">
      <c r="A77" s="121" t="s">
        <v>82</v>
      </c>
      <c r="B77" s="122"/>
      <c r="C77" s="63">
        <f>ROUND(SUM(C75:C76),5)</f>
        <v>0</v>
      </c>
      <c r="D77" s="59">
        <f>SUM(D75:D76)</f>
        <v>0</v>
      </c>
    </row>
    <row r="78" spans="1:4" x14ac:dyDescent="0.3">
      <c r="A78" s="38"/>
      <c r="B78" s="38"/>
      <c r="C78" s="12"/>
      <c r="D78" s="13"/>
    </row>
    <row r="79" spans="1:4" ht="30" customHeight="1" x14ac:dyDescent="0.3">
      <c r="A79" s="121" t="s">
        <v>143</v>
      </c>
      <c r="B79" s="123"/>
      <c r="C79" s="122"/>
      <c r="D79" s="59">
        <f>ROUND(D71+D77,2)</f>
        <v>2197.2600000000002</v>
      </c>
    </row>
    <row r="80" spans="1:4" x14ac:dyDescent="0.3">
      <c r="A80" s="38"/>
      <c r="B80" s="38"/>
      <c r="C80" s="38"/>
      <c r="D80" s="13"/>
    </row>
    <row r="81" spans="1:4" ht="35.25" customHeight="1" x14ac:dyDescent="0.3">
      <c r="A81" s="135" t="s">
        <v>103</v>
      </c>
      <c r="B81" s="135"/>
      <c r="C81" s="60">
        <f>ROUND(1-(SUM(C84:C86)/1),5)</f>
        <v>0.91349999999999998</v>
      </c>
      <c r="D81" s="59">
        <f>ROUND(D79/C81,2)</f>
        <v>2405.3200000000002</v>
      </c>
    </row>
    <row r="82" spans="1:4" x14ac:dyDescent="0.3">
      <c r="A82" s="7"/>
      <c r="B82" s="7"/>
      <c r="C82" s="7"/>
      <c r="D82" s="7"/>
    </row>
    <row r="83" spans="1:4" x14ac:dyDescent="0.3">
      <c r="A83" s="124" t="s">
        <v>83</v>
      </c>
      <c r="B83" s="126"/>
      <c r="C83" s="50" t="s">
        <v>6</v>
      </c>
      <c r="D83" s="50" t="s">
        <v>7</v>
      </c>
    </row>
    <row r="84" spans="1:4" ht="22.05" customHeight="1" x14ac:dyDescent="0.3">
      <c r="A84" s="127" t="s">
        <v>84</v>
      </c>
      <c r="B84" s="128"/>
      <c r="C84" s="24">
        <v>0.05</v>
      </c>
      <c r="D84" s="10">
        <f>ROUND($D$81*C84,2)</f>
        <v>120.27</v>
      </c>
    </row>
    <row r="85" spans="1:4" ht="22.05" customHeight="1" x14ac:dyDescent="0.3">
      <c r="A85" s="115" t="s">
        <v>85</v>
      </c>
      <c r="B85" s="117"/>
      <c r="C85" s="61">
        <v>0.03</v>
      </c>
      <c r="D85" s="62">
        <f>ROUND($D$81*C85,2)</f>
        <v>72.16</v>
      </c>
    </row>
    <row r="86" spans="1:4" ht="22.05" customHeight="1" x14ac:dyDescent="0.3">
      <c r="A86" s="127" t="s">
        <v>86</v>
      </c>
      <c r="B86" s="128"/>
      <c r="C86" s="24">
        <v>6.4999999999999997E-3</v>
      </c>
      <c r="D86" s="10">
        <f>ROUND($D$81*C86,2)</f>
        <v>15.63</v>
      </c>
    </row>
    <row r="87" spans="1:4" x14ac:dyDescent="0.3">
      <c r="A87" s="121" t="s">
        <v>87</v>
      </c>
      <c r="B87" s="122"/>
      <c r="C87" s="60">
        <f>ROUND(SUM(C84:C86),5)</f>
        <v>8.6499999999999994E-2</v>
      </c>
      <c r="D87" s="59">
        <f>ROUND(SUM(D84:D86),2)</f>
        <v>208.06</v>
      </c>
    </row>
    <row r="88" spans="1:4" x14ac:dyDescent="0.3">
      <c r="A88" s="7"/>
      <c r="B88" s="7"/>
      <c r="C88" s="7"/>
      <c r="D88" s="7"/>
    </row>
    <row r="89" spans="1:4" ht="25.05" customHeight="1" x14ac:dyDescent="0.3">
      <c r="A89" s="121" t="s">
        <v>88</v>
      </c>
      <c r="B89" s="123"/>
      <c r="C89" s="122"/>
      <c r="D89" s="59">
        <f>ROUND(D79+D87,2)</f>
        <v>2405.3200000000002</v>
      </c>
    </row>
    <row r="90" spans="1:4" ht="15" customHeight="1" x14ac:dyDescent="0.3">
      <c r="A90" s="38"/>
      <c r="B90" s="38"/>
      <c r="C90" s="38"/>
      <c r="D90" s="13"/>
    </row>
    <row r="91" spans="1:4" ht="25.05" customHeight="1" x14ac:dyDescent="0.3">
      <c r="A91" s="102" t="s">
        <v>188</v>
      </c>
      <c r="B91" s="102"/>
      <c r="C91" s="102"/>
      <c r="D91" s="102"/>
    </row>
    <row r="92" spans="1:4" ht="25.05" customHeight="1" x14ac:dyDescent="0.3">
      <c r="A92" s="179" t="s">
        <v>189</v>
      </c>
      <c r="B92" s="179"/>
      <c r="C92" s="179"/>
      <c r="D92" s="37">
        <f>ROUND(D89/220,2)</f>
        <v>10.93</v>
      </c>
    </row>
    <row r="93" spans="1:4" ht="25.05" customHeight="1" x14ac:dyDescent="0.3">
      <c r="A93" s="180" t="s">
        <v>190</v>
      </c>
      <c r="B93" s="180"/>
      <c r="C93" s="180"/>
      <c r="D93" s="80">
        <f>ROUND((D92*50%)+D92,2)</f>
        <v>16.399999999999999</v>
      </c>
    </row>
    <row r="94" spans="1:4" ht="25.05" customHeight="1" x14ac:dyDescent="0.3">
      <c r="A94" s="179" t="s">
        <v>191</v>
      </c>
      <c r="B94" s="179"/>
      <c r="C94" s="179"/>
      <c r="D94" s="37">
        <f>ROUND((D92*100%)+D92,2)</f>
        <v>21.86</v>
      </c>
    </row>
    <row r="95" spans="1:4" ht="15" customHeight="1" x14ac:dyDescent="0.3">
      <c r="A95" s="38"/>
      <c r="B95" s="38"/>
      <c r="C95" s="38"/>
      <c r="D95" s="13"/>
    </row>
    <row r="96" spans="1:4" ht="15" customHeight="1" x14ac:dyDescent="0.3">
      <c r="A96" s="102" t="s">
        <v>89</v>
      </c>
      <c r="B96" s="102"/>
      <c r="C96" s="102"/>
      <c r="D96" s="56" t="s">
        <v>6</v>
      </c>
    </row>
    <row r="97" spans="1:4" ht="15" customHeight="1" x14ac:dyDescent="0.3">
      <c r="A97" s="103" t="s">
        <v>145</v>
      </c>
      <c r="B97" s="103"/>
      <c r="C97" s="103"/>
      <c r="D97" s="31">
        <f>C26</f>
        <v>0.39800000000000002</v>
      </c>
    </row>
    <row r="98" spans="1:4" ht="15" customHeight="1" x14ac:dyDescent="0.3">
      <c r="A98" s="108" t="s">
        <v>40</v>
      </c>
      <c r="B98" s="108"/>
      <c r="C98" s="108"/>
      <c r="D98" s="58">
        <f>C37</f>
        <v>0.19356999999999999</v>
      </c>
    </row>
    <row r="99" spans="1:4" ht="15" customHeight="1" x14ac:dyDescent="0.3">
      <c r="A99" s="103" t="s">
        <v>52</v>
      </c>
      <c r="B99" s="103"/>
      <c r="C99" s="103"/>
      <c r="D99" s="31">
        <f>C45</f>
        <v>6.694E-2</v>
      </c>
    </row>
    <row r="100" spans="1:4" ht="15" customHeight="1" x14ac:dyDescent="0.3">
      <c r="A100" s="108" t="s">
        <v>60</v>
      </c>
      <c r="B100" s="108"/>
      <c r="C100" s="108"/>
      <c r="D100" s="58">
        <f>C49</f>
        <v>7.7039999999999997E-2</v>
      </c>
    </row>
    <row r="101" spans="1:4" ht="15" customHeight="1" x14ac:dyDescent="0.3">
      <c r="A101" s="103" t="s">
        <v>65</v>
      </c>
      <c r="B101" s="103"/>
      <c r="C101" s="103"/>
      <c r="D101" s="31">
        <f>C55</f>
        <v>2.5899999999999999E-3</v>
      </c>
    </row>
    <row r="102" spans="1:4" ht="15" customHeight="1" x14ac:dyDescent="0.3">
      <c r="A102" s="108" t="s">
        <v>70</v>
      </c>
      <c r="B102" s="108"/>
      <c r="C102" s="108"/>
      <c r="D102" s="58">
        <f>C59</f>
        <v>2.65E-3</v>
      </c>
    </row>
    <row r="103" spans="1:4" ht="15" customHeight="1" x14ac:dyDescent="0.3">
      <c r="A103" s="165" t="s">
        <v>146</v>
      </c>
      <c r="B103" s="165"/>
      <c r="C103" s="165"/>
      <c r="D103" s="57">
        <f>ROUND(SUM(D97:D102),5)</f>
        <v>0.74078999999999995</v>
      </c>
    </row>
  </sheetData>
  <mergeCells count="85">
    <mergeCell ref="A99:C99"/>
    <mergeCell ref="A100:C100"/>
    <mergeCell ref="A101:C101"/>
    <mergeCell ref="A102:C102"/>
    <mergeCell ref="A103:C103"/>
    <mergeCell ref="A91:D91"/>
    <mergeCell ref="A92:C92"/>
    <mergeCell ref="A93:C93"/>
    <mergeCell ref="A94:C94"/>
    <mergeCell ref="A87:B87"/>
    <mergeCell ref="A89:C89"/>
    <mergeCell ref="A96:C96"/>
    <mergeCell ref="A97:C97"/>
    <mergeCell ref="A98:C98"/>
    <mergeCell ref="A84:B84"/>
    <mergeCell ref="A85:B85"/>
    <mergeCell ref="A86:B86"/>
    <mergeCell ref="A77:B77"/>
    <mergeCell ref="A79:C79"/>
    <mergeCell ref="A81:B81"/>
    <mergeCell ref="A83:B83"/>
    <mergeCell ref="A74:B74"/>
    <mergeCell ref="A75:B75"/>
    <mergeCell ref="A76:B76"/>
    <mergeCell ref="A69:C69"/>
    <mergeCell ref="A71:C71"/>
    <mergeCell ref="A73:D73"/>
    <mergeCell ref="A66:C66"/>
    <mergeCell ref="A67:C67"/>
    <mergeCell ref="A68:C68"/>
    <mergeCell ref="A60:B60"/>
    <mergeCell ref="A62:C62"/>
    <mergeCell ref="A64:D64"/>
    <mergeCell ref="A65:C65"/>
    <mergeCell ref="A55:B55"/>
    <mergeCell ref="A57:B57"/>
    <mergeCell ref="A58:B58"/>
    <mergeCell ref="A59:B59"/>
    <mergeCell ref="A45:B45"/>
    <mergeCell ref="A37:B37"/>
    <mergeCell ref="A39:B39"/>
    <mergeCell ref="A52:B52"/>
    <mergeCell ref="A53:B53"/>
    <mergeCell ref="A54:B54"/>
    <mergeCell ref="A47:B47"/>
    <mergeCell ref="A48:B48"/>
    <mergeCell ref="A49:B49"/>
    <mergeCell ref="A51:B51"/>
    <mergeCell ref="A40:B40"/>
    <mergeCell ref="A41:B41"/>
    <mergeCell ref="A43:B43"/>
    <mergeCell ref="A44:B44"/>
    <mergeCell ref="A29:B29"/>
    <mergeCell ref="A30:B30"/>
    <mergeCell ref="A31:B31"/>
    <mergeCell ref="A32:B32"/>
    <mergeCell ref="A33:B33"/>
    <mergeCell ref="A42:B42"/>
    <mergeCell ref="A34:B34"/>
    <mergeCell ref="A35:B35"/>
    <mergeCell ref="A36:B36"/>
    <mergeCell ref="A25:B25"/>
    <mergeCell ref="A26:B26"/>
    <mergeCell ref="A28:B28"/>
    <mergeCell ref="A22:B22"/>
    <mergeCell ref="A23:B23"/>
    <mergeCell ref="A24:B24"/>
    <mergeCell ref="A19:B19"/>
    <mergeCell ref="A20:B20"/>
    <mergeCell ref="A21:B21"/>
    <mergeCell ref="A14:C14"/>
    <mergeCell ref="A16:D16"/>
    <mergeCell ref="A17:B17"/>
    <mergeCell ref="A18:B18"/>
    <mergeCell ref="A10:D10"/>
    <mergeCell ref="A11:B11"/>
    <mergeCell ref="A12:B12"/>
    <mergeCell ref="A13:B13"/>
    <mergeCell ref="A1:D1"/>
    <mergeCell ref="B2:D2"/>
    <mergeCell ref="B3:D3"/>
    <mergeCell ref="B4:D4"/>
    <mergeCell ref="B5:D5"/>
    <mergeCell ref="B6:D6"/>
    <mergeCell ref="A9:D9"/>
  </mergeCells>
  <printOptions horizontalCentered="1" verticalCentered="1"/>
  <pageMargins left="0.51181102362204722" right="0.51181102362204722" top="0.78740157480314965" bottom="1.1811023622047245" header="0.31496062992125984" footer="0.51181102362204722"/>
  <pageSetup paperSize="9" fitToHeight="0" orientation="landscape" r:id="rId1"/>
  <headerFooter>
    <oddFooter>&amp;C&amp;"Arial,Normal"&amp;8Página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Quadro Geral</vt:lpstr>
      <vt:lpstr>Agente de Portaria</vt:lpstr>
      <vt:lpstr>Uniforme Agente</vt:lpstr>
      <vt:lpstr>Equipamento</vt:lpstr>
      <vt:lpstr>Previsão de Horas-Extras</vt:lpstr>
      <vt:lpstr>Agente Horas-Extras</vt:lpstr>
      <vt:lpstr>'Agente de Portaria'!Area_de_impressao</vt:lpstr>
      <vt:lpstr>'Agente Horas-Extras'!Area_de_impressao</vt:lpstr>
      <vt:lpstr>Equipamento!Area_de_impressao</vt:lpstr>
      <vt:lpstr>'Previsão de Horas-Extras'!Area_de_impressao</vt:lpstr>
      <vt:lpstr>'Quadro Geral'!Area_de_impressao</vt:lpstr>
      <vt:lpstr>'Uniforme Agente'!Area_de_impressao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2021-02-18T14:00:28Z</cp:lastPrinted>
  <dcterms:created xsi:type="dcterms:W3CDTF">2019-11-11T13:48:18Z</dcterms:created>
  <dcterms:modified xsi:type="dcterms:W3CDTF">2021-04-27T17:56:16Z</dcterms:modified>
</cp:coreProperties>
</file>