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cessos\Licitações\2021\Pregão 02\"/>
    </mc:Choice>
  </mc:AlternateContent>
  <xr:revisionPtr revIDLastSave="0" documentId="13_ncr:1_{7823697E-F192-4475-B4EB-CB7E8A817820}" xr6:coauthVersionLast="46" xr6:coauthVersionMax="46" xr10:uidLastSave="{00000000-0000-0000-0000-000000000000}"/>
  <bookViews>
    <workbookView xWindow="-108" yWindow="-108" windowWidth="23256" windowHeight="12576" tabRatio="752" xr2:uid="{00000000-000D-0000-FFFF-FFFF00000000}"/>
  </bookViews>
  <sheets>
    <sheet name="Quadro Geral" sheetId="12" r:id="rId1"/>
    <sheet name="Vigilante Diurno 12x36" sheetId="14" r:id="rId2"/>
    <sheet name="Vigilante Noturno 12x36" sheetId="28" r:id="rId3"/>
    <sheet name="Uniforme Vigilante" sheetId="15" r:id="rId4"/>
    <sheet name="Equipamento e Munição" sheetId="16" r:id="rId5"/>
  </sheets>
  <definedNames>
    <definedName name="_xlnm.Print_Area" localSheetId="4">'Equipamento e Munição'!$A$1:$F$34</definedName>
    <definedName name="_xlnm.Print_Area" localSheetId="0">'Quadro Geral'!$A$1:$L$16</definedName>
    <definedName name="_xlnm.Print_Area" localSheetId="3">'Uniforme Vigilante'!$A$1:$F$16</definedName>
    <definedName name="_xlnm.Print_Area" localSheetId="1">'Vigilante Diurno 12x36'!$A$1:$D$113</definedName>
    <definedName name="_xlnm.Print_Area" localSheetId="2">'Vigilante Noturno 12x36'!$A$1:$D$115</definedName>
  </definedNames>
  <calcPr calcId="191029"/>
</workbook>
</file>

<file path=xl/calcChain.xml><?xml version="1.0" encoding="utf-8"?>
<calcChain xmlns="http://schemas.openxmlformats.org/spreadsheetml/2006/main">
  <c r="D23" i="16" l="1"/>
  <c r="F11" i="16" l="1"/>
  <c r="A3" i="15"/>
  <c r="F15" i="16"/>
  <c r="F10" i="15"/>
  <c r="F9" i="15"/>
  <c r="F8" i="15"/>
  <c r="F7" i="15"/>
  <c r="F6" i="15"/>
  <c r="F5" i="15"/>
  <c r="F4" i="15"/>
  <c r="F3" i="15"/>
  <c r="F23" i="16"/>
  <c r="F14" i="16"/>
  <c r="F13" i="16"/>
  <c r="F12" i="16"/>
  <c r="F10" i="16"/>
  <c r="F9" i="16"/>
  <c r="F8" i="16"/>
  <c r="F7" i="16"/>
  <c r="F6" i="16"/>
  <c r="F5" i="16"/>
  <c r="F4" i="16"/>
  <c r="A5" i="16"/>
  <c r="A6" i="16" s="1"/>
  <c r="A7" i="16" s="1"/>
  <c r="A8" i="16" s="1"/>
  <c r="A9" i="16" s="1"/>
  <c r="A10" i="16" s="1"/>
  <c r="A11" i="16" s="1"/>
  <c r="A12" i="16" s="1"/>
  <c r="A13" i="16" l="1"/>
  <c r="A14" i="16" s="1"/>
  <c r="A15" i="16" s="1"/>
  <c r="F16" i="16"/>
  <c r="F18" i="16" s="1"/>
  <c r="F11" i="15"/>
  <c r="F12" i="15" s="1"/>
  <c r="C102" i="28"/>
  <c r="C96" i="28"/>
  <c r="C92" i="28"/>
  <c r="D72" i="28"/>
  <c r="D71" i="28"/>
  <c r="D69" i="28"/>
  <c r="D70" i="28" s="1"/>
  <c r="C46" i="28"/>
  <c r="C57" i="28" s="1"/>
  <c r="C45" i="28"/>
  <c r="C44" i="28"/>
  <c r="C43" i="28"/>
  <c r="C39" i="28"/>
  <c r="C38" i="28"/>
  <c r="C47" i="28" s="1"/>
  <c r="C37" i="28"/>
  <c r="C36" i="28"/>
  <c r="C56" i="28" s="1"/>
  <c r="C35" i="28"/>
  <c r="C34" i="28"/>
  <c r="C33" i="28"/>
  <c r="C32" i="28"/>
  <c r="C29" i="28"/>
  <c r="D16" i="28"/>
  <c r="D13" i="28"/>
  <c r="D73" i="14" l="1"/>
  <c r="D75" i="28"/>
  <c r="F17" i="16"/>
  <c r="F19" i="16" s="1"/>
  <c r="F24" i="16" s="1"/>
  <c r="D83" i="28"/>
  <c r="D84" i="28" s="1"/>
  <c r="D14" i="28"/>
  <c r="C40" i="28"/>
  <c r="D110" i="28" s="1"/>
  <c r="C48" i="28"/>
  <c r="D111" i="28" s="1"/>
  <c r="D109" i="28"/>
  <c r="C61" i="28"/>
  <c r="C62" i="28" s="1"/>
  <c r="D114" i="28" s="1"/>
  <c r="C55" i="28"/>
  <c r="C58" i="28" s="1"/>
  <c r="D113" i="28" s="1"/>
  <c r="D69" i="14"/>
  <c r="D67" i="14"/>
  <c r="D15" i="28" l="1"/>
  <c r="D17" i="28" s="1"/>
  <c r="D76" i="28"/>
  <c r="D77" i="28" s="1"/>
  <c r="D74" i="14"/>
  <c r="C51" i="28"/>
  <c r="C52" i="28" s="1"/>
  <c r="D112" i="28" s="1"/>
  <c r="D115" i="28" s="1"/>
  <c r="D13" i="14"/>
  <c r="D81" i="14" s="1"/>
  <c r="D82" i="14" s="1"/>
  <c r="I6" i="12"/>
  <c r="C94" i="14"/>
  <c r="C63" i="28" l="1"/>
  <c r="C100" i="14"/>
  <c r="C90" i="14"/>
  <c r="D70" i="14"/>
  <c r="D68" i="14"/>
  <c r="C27" i="14"/>
  <c r="C44" i="14"/>
  <c r="C55" i="14" s="1"/>
  <c r="C43" i="14"/>
  <c r="C42" i="14"/>
  <c r="C41" i="14"/>
  <c r="C53" i="14" s="1"/>
  <c r="C37" i="14"/>
  <c r="C36" i="14"/>
  <c r="C45" i="14" s="1"/>
  <c r="C35" i="14"/>
  <c r="C34" i="14"/>
  <c r="C54" i="14" s="1"/>
  <c r="C33" i="14"/>
  <c r="C32" i="14"/>
  <c r="C31" i="14"/>
  <c r="C30" i="14"/>
  <c r="C38" i="14" l="1"/>
  <c r="D108" i="14" s="1"/>
  <c r="C59" i="14"/>
  <c r="C60" i="14" s="1"/>
  <c r="D112" i="14" s="1"/>
  <c r="D107" i="14"/>
  <c r="C56" i="14"/>
  <c r="D111" i="14" s="1"/>
  <c r="C46" i="14"/>
  <c r="D109" i="14" s="1"/>
  <c r="A4" i="15" l="1"/>
  <c r="A5" i="15" l="1"/>
  <c r="G6" i="12"/>
  <c r="C49" i="14"/>
  <c r="C50" i="14" s="1"/>
  <c r="D14" i="14"/>
  <c r="D15" i="14" s="1"/>
  <c r="A6" i="15" l="1"/>
  <c r="A7" i="15" s="1"/>
  <c r="A8" i="15" s="1"/>
  <c r="A9" i="15" s="1"/>
  <c r="A10" i="15" s="1"/>
  <c r="C61" i="14"/>
  <c r="D110" i="14"/>
  <c r="D113" i="14" s="1"/>
  <c r="D19" i="14"/>
  <c r="D30" i="14"/>
  <c r="D23" i="14"/>
  <c r="D55" i="14"/>
  <c r="D54" i="14"/>
  <c r="D53" i="14"/>
  <c r="D43" i="14"/>
  <c r="D26" i="14"/>
  <c r="D25" i="14"/>
  <c r="D37" i="14"/>
  <c r="D42" i="14"/>
  <c r="D36" i="14"/>
  <c r="D41" i="14"/>
  <c r="D24" i="14"/>
  <c r="D45" i="14"/>
  <c r="D33" i="14"/>
  <c r="D21" i="14"/>
  <c r="D32" i="14"/>
  <c r="D31" i="14"/>
  <c r="D34" i="14"/>
  <c r="D22" i="14"/>
  <c r="D44" i="14"/>
  <c r="D35" i="14"/>
  <c r="D59" i="14"/>
  <c r="D60" i="14" s="1"/>
  <c r="D20" i="14"/>
  <c r="D49" i="14"/>
  <c r="D50" i="14" s="1"/>
  <c r="D27" i="14" l="1"/>
  <c r="D38" i="14"/>
  <c r="D46" i="14"/>
  <c r="D56" i="14"/>
  <c r="D75" i="14"/>
  <c r="D61" i="14" l="1"/>
  <c r="D63" i="14" s="1"/>
  <c r="D77" i="14" l="1"/>
  <c r="D84" i="14" s="1"/>
  <c r="D88" i="14" l="1"/>
  <c r="D89" i="14"/>
  <c r="D90" i="14" l="1"/>
  <c r="D92" i="14" s="1"/>
  <c r="D94" i="14" s="1"/>
  <c r="D98" i="14" l="1"/>
  <c r="D97" i="14"/>
  <c r="D99" i="14"/>
  <c r="D100" i="14" l="1"/>
  <c r="D102" i="14" s="1"/>
  <c r="D103" i="14" l="1"/>
  <c r="D104" i="14" s="1"/>
  <c r="H4" i="12"/>
  <c r="J4" i="12" s="1"/>
  <c r="K4" i="12" s="1"/>
  <c r="L4" i="12" s="1"/>
  <c r="D33" i="28" l="1"/>
  <c r="D26" i="28"/>
  <c r="D24" i="28"/>
  <c r="D55" i="28"/>
  <c r="D25" i="28"/>
  <c r="D23" i="28"/>
  <c r="D51" i="28"/>
  <c r="D52" i="28" s="1"/>
  <c r="D43" i="28"/>
  <c r="D44" i="28"/>
  <c r="D46" i="28"/>
  <c r="D36" i="28"/>
  <c r="D37" i="28"/>
  <c r="D22" i="28"/>
  <c r="D32" i="28"/>
  <c r="D38" i="28"/>
  <c r="D39" i="28"/>
  <c r="D35" i="28"/>
  <c r="D57" i="28"/>
  <c r="D56" i="28"/>
  <c r="D45" i="28"/>
  <c r="D61" i="28"/>
  <c r="D62" i="28" s="1"/>
  <c r="D47" i="28"/>
  <c r="D34" i="28"/>
  <c r="D27" i="28"/>
  <c r="D21" i="28"/>
  <c r="D28" i="28"/>
  <c r="D48" i="28" l="1"/>
  <c r="D40" i="28"/>
  <c r="D29" i="28"/>
  <c r="D58" i="28"/>
  <c r="D63" i="28" l="1"/>
  <c r="D65" i="28" s="1"/>
  <c r="D79" i="28" s="1"/>
  <c r="D86" i="28" s="1"/>
  <c r="D90" i="28" l="1"/>
  <c r="D91" i="28"/>
  <c r="D92" i="28" l="1"/>
  <c r="D94" i="28" s="1"/>
  <c r="D96" i="28" l="1"/>
  <c r="D100" i="28" l="1"/>
  <c r="D101" i="28"/>
  <c r="D99" i="28"/>
  <c r="D102" i="28" l="1"/>
  <c r="D104" i="28" s="1"/>
  <c r="D105" i="28" l="1"/>
  <c r="D106" i="28" s="1"/>
  <c r="H5" i="12"/>
  <c r="J5" i="12" l="1"/>
  <c r="H6" i="12"/>
  <c r="K5" i="12" l="1"/>
  <c r="J6" i="12"/>
  <c r="J8" i="12" s="1"/>
  <c r="J9" i="12" s="1"/>
  <c r="J10" i="12" s="1"/>
  <c r="K6" i="12" l="1"/>
  <c r="L5" i="12"/>
  <c r="L6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C36" authorId="0" shapeId="0" xr:uid="{3E57E9E3-6D37-4971-B3C3-5314C5501BE2}">
      <text>
        <r>
          <rPr>
            <sz val="9"/>
            <color indexed="81"/>
            <rFont val="Segoe UI"/>
            <family val="2"/>
          </rPr>
          <t xml:space="preserve">Decidir se vai usar 8,33% (só férias) ou 11,11% (com 1/3).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C38" authorId="0" shapeId="0" xr:uid="{5A4FBE1D-5321-4AED-B7CE-AEE262F9D7BA}">
      <text>
        <r>
          <rPr>
            <sz val="9"/>
            <color indexed="81"/>
            <rFont val="Segoe UI"/>
            <family val="2"/>
          </rPr>
          <t xml:space="preserve">Decidir se vai usar 8,33% (só férias) ou 11,11% (com 1/3).
</t>
        </r>
      </text>
    </comment>
  </commentList>
</comments>
</file>

<file path=xl/sharedStrings.xml><?xml version="1.0" encoding="utf-8"?>
<sst xmlns="http://schemas.openxmlformats.org/spreadsheetml/2006/main" count="342" uniqueCount="167">
  <si>
    <t>PLANILHA ORÇAMENTÁRIA DE REFERÊNCIA DE FORMAÇÃO DE CUSTO DE MÃO DE OBRA</t>
  </si>
  <si>
    <t>Unidade de medida:</t>
  </si>
  <si>
    <t>Tipo de serviço:</t>
  </si>
  <si>
    <t>Quantidade total a contratar (em função da unidade de medida):</t>
  </si>
  <si>
    <t>MÃO DE OBRA VINCULADA À EXECUÇÃO CONTRATUAL</t>
  </si>
  <si>
    <t>Composição da Remuneração</t>
  </si>
  <si>
    <t>%</t>
  </si>
  <si>
    <t>Valor (R$)</t>
  </si>
  <si>
    <t>Salário Base</t>
  </si>
  <si>
    <t>Lucro</t>
  </si>
  <si>
    <t>GRUPO A - ENCARGOS</t>
  </si>
  <si>
    <t>A.01 SEGURIDADE SOCIAL</t>
  </si>
  <si>
    <t>A.02 FGTS</t>
  </si>
  <si>
    <t>A.03 SESI/SESC</t>
  </si>
  <si>
    <t>A.04 SENAI/SENAC</t>
  </si>
  <si>
    <t>A.05 INCRA</t>
  </si>
  <si>
    <t>A.06 SEBRAE</t>
  </si>
  <si>
    <t>A.07 Salário Educação</t>
  </si>
  <si>
    <t>A.08 Riscos Ambientais do Trabalho – RAT x FAP</t>
  </si>
  <si>
    <t>TOTAL - GRUPO A - ENCARGOS</t>
  </si>
  <si>
    <t>TOTAL DA REMUNERAÇÃO (R$)</t>
  </si>
  <si>
    <t>GRUPO B</t>
  </si>
  <si>
    <t>B.01 13º Salário</t>
  </si>
  <si>
    <t>B.02 Férias (sem o abono de 1/3)</t>
  </si>
  <si>
    <t>B.03 Aviso Prévio Trabalhado</t>
  </si>
  <si>
    <t>B.04 Auxílio Doença</t>
  </si>
  <si>
    <t>B.05 Acidente de Trabalho</t>
  </si>
  <si>
    <t>B.06 Faltas Legais</t>
  </si>
  <si>
    <t>B.07 Férias sobre Licença Maternidade</t>
  </si>
  <si>
    <t>B.08 Licença Paternidade</t>
  </si>
  <si>
    <t>TOTAL - GRUPO B</t>
  </si>
  <si>
    <t>GRUPO C</t>
  </si>
  <si>
    <t>C.01 Aviso Prévio Indenizado</t>
  </si>
  <si>
    <t>C.02 Indenização Adicional</t>
  </si>
  <si>
    <t>C.03 Indenização (rescisão sem justa causa – multa de 40% do FGTS)</t>
  </si>
  <si>
    <t>TOTAL - GRUPO C</t>
  </si>
  <si>
    <t>GRUPO D</t>
  </si>
  <si>
    <t>D.01 Incidência dos encargos do grupo A sobre o grupo B</t>
  </si>
  <si>
    <t>TOTAL - GRUPO D</t>
  </si>
  <si>
    <t>GRUPO E</t>
  </si>
  <si>
    <t>E.01 Incidência do FGTS sobre o aviso prévio indenizado</t>
  </si>
  <si>
    <t>E.02 Incidência do FGTS sobre o período médio de afastamento superior a 15 dias motivado por acidente do trabalho</t>
  </si>
  <si>
    <t>E.03 Incidência de FGTS sobre férias 1/3 constitucional</t>
  </si>
  <si>
    <t>TOTAL - GRUPO E</t>
  </si>
  <si>
    <t>GRUPO F</t>
  </si>
  <si>
    <t>F.01 Incidência dos encargos do Grupo A sobre os valores constantes da base de cálculo referente ao salário maternidade</t>
  </si>
  <si>
    <t>TOTAL - GRUPO F</t>
  </si>
  <si>
    <t>TOTAL - ENCARGOS SOCIAIS (R$)</t>
  </si>
  <si>
    <t>VALOR TOTAL DE REMUNERAÇÃO + ENCARGOS SOCIAIS (R$)</t>
  </si>
  <si>
    <t>Insumos</t>
  </si>
  <si>
    <t>Uniforme</t>
  </si>
  <si>
    <t>Vale transporte</t>
  </si>
  <si>
    <t>Desconto legal sobre transporte (máximo 6% do salário-base)</t>
  </si>
  <si>
    <t>TOTAL - INSUMOS (R$)</t>
  </si>
  <si>
    <t>TOTAL DE REMUNERAÇÃO + ENCARGOS SOCIAIS + INSUMOS (R$)</t>
  </si>
  <si>
    <t>LUCRO E DESPESAS INDIRETAS (LDI)</t>
  </si>
  <si>
    <t>Despesas Administrativas/Operacionais</t>
  </si>
  <si>
    <t>TOTAL - LUCRO E DESPESAS INDIRETAS</t>
  </si>
  <si>
    <t>TRIBUTAÇÃO SOBRE FATURAMENTO</t>
  </si>
  <si>
    <t>ISS</t>
  </si>
  <si>
    <t>COFINS</t>
  </si>
  <si>
    <t>PIS</t>
  </si>
  <si>
    <t>TOTAL - TRIBUTAÇÃO SOBRE FATURAMENTO</t>
  </si>
  <si>
    <t>PREÇO MENSAL PARA 1 (UM) EMPREGADO (R$)</t>
  </si>
  <si>
    <t>Item</t>
  </si>
  <si>
    <t>-</t>
  </si>
  <si>
    <t>Descrição</t>
  </si>
  <si>
    <t>Unidade de Medida</t>
  </si>
  <si>
    <t>Und.</t>
  </si>
  <si>
    <t>Par</t>
  </si>
  <si>
    <t>Qtde. Anual
(a)</t>
  </si>
  <si>
    <t>Valor Médio Unitário (R$)
(b)</t>
  </si>
  <si>
    <t>Custo Total (R$)
(c = a x b)</t>
  </si>
  <si>
    <t>Quant. Total (a)</t>
  </si>
  <si>
    <t>Uni.</t>
  </si>
  <si>
    <t>CBO:</t>
  </si>
  <si>
    <t>Convenção Coletiva de Trabalho/Acordo/ Dissídio Coletivo de Trabalho:</t>
  </si>
  <si>
    <t>Vale Refeição</t>
  </si>
  <si>
    <t>BASE DE CÁLCULO PARA TRIBUTO</t>
  </si>
  <si>
    <t>Calça</t>
  </si>
  <si>
    <t>Camisa</t>
  </si>
  <si>
    <t>Crachá</t>
  </si>
  <si>
    <t>NOTA MANUTENÇÃO DOS EQUIPAMENTOS</t>
  </si>
  <si>
    <t>NOTA DEPRECIAÇÃO DOS EQUIPAMENTOS</t>
  </si>
  <si>
    <t>Para o cálculo do insumo Depreciação de Equipamentos, adotou-se vida útil de 8 anos e valor residual de 20%, com base no Manual de Custos Rodoviários do DNIT, volume 1, de 2003.</t>
  </si>
  <si>
    <t>EQUIPAMENTO</t>
  </si>
  <si>
    <t>PREÇO ANUAL PARA 1 (UM) POSTO (R$) - PREÇO MENSAL X 12 MESES</t>
  </si>
  <si>
    <t>Subitem</t>
  </si>
  <si>
    <t>EMPREGADO</t>
  </si>
  <si>
    <t>1.1</t>
  </si>
  <si>
    <t>1.2</t>
  </si>
  <si>
    <t>Outros</t>
  </si>
  <si>
    <t>C.04 Abono de Férias - 1/3 constitucional</t>
  </si>
  <si>
    <t>C.05 Abono de Férias - 1/3 constitucional sobre licença maternidade</t>
  </si>
  <si>
    <t>Valor do insumo Manutenção de Equipamentos foi obtido adotando-se a metodologia das Tabelas de Composições de Preços para Orçamentação, publicação da Editora Pini, para equipamentos de pequeno porte (aproximadamente 1,5HP), com utilização, em média, de 83h/mês, em conjunto com o Manual de Custos Rodoviários do DNIT, Volume 1, de 2003:
K = 0,6 (conforme adotado pelo Sicro2 /DNIT – Manual de Custos Rodoviários –
Volume 1, página 83);
VU = Vida Útil = 10.000 horas
V0 = Valor de aquisição do equipamento</t>
  </si>
  <si>
    <t>Quantidade de Posto
(a)</t>
  </si>
  <si>
    <t>Quantidade de Empregado por Posto
(c)</t>
  </si>
  <si>
    <t>Vlr. Unitário por Empregado R$
(b)</t>
  </si>
  <si>
    <t>Vlr. Mensal R$ (d= a x b x c)</t>
  </si>
  <si>
    <t>Vlr. Anual R$ (e= d x 12 meses)</t>
  </si>
  <si>
    <t>1.0</t>
  </si>
  <si>
    <t>Custo Global (R$) (∑ do Custo Total) →</t>
  </si>
  <si>
    <t>Custo Mensal com a Manutenção dos Equipamentos: (k x 83 x V0/VU) →</t>
  </si>
  <si>
    <t>Custo Mensal com a Depreciação dos Equipamentos: [Valor total dos equipamentos x (1,00-0,20)]/(12x8) →</t>
  </si>
  <si>
    <t>Custo Mensal Manut. Depre. dos Equipamentos (R$) (Custo Mensal Manutenção + Depreciação) →</t>
  </si>
  <si>
    <t>Mão de Obra</t>
  </si>
  <si>
    <t>FONTE DOS VALORES</t>
  </si>
  <si>
    <t>Elaborado por:</t>
  </si>
  <si>
    <t>Desconto sobre o vale refeição (máximo 10% do vale refeição)</t>
  </si>
  <si>
    <t>Vigilante Patrimonial 12x36 - Diurno</t>
  </si>
  <si>
    <t>Vigilante Patrimonial 12x36 - Noturno</t>
  </si>
  <si>
    <t>Vigilante Patrimonial 12x36 (Diurno)</t>
  </si>
  <si>
    <t>5173-30</t>
  </si>
  <si>
    <t>Empregado</t>
  </si>
  <si>
    <t>CCT 2020/2022 de N.º Registro no MTE: AM000070/2020, N.º da Solicitação: MR006589/2020 e N.º do Processo: 13621.102969/2020-19, e TACCT 2020/2022 de N.º Registro no MTE: AM000050/2021, N.º da Solicitação: MR003502/2021 e N.º do Processo: 13621.101096/2021-08.</t>
  </si>
  <si>
    <t>Plano de Saúde</t>
  </si>
  <si>
    <t>Desconto legal sobre plano de saúde (máximo R$ 1,00 do plano)</t>
  </si>
  <si>
    <t>SEÇÃO I - COMPOSIÇÃO DA REMUNERAÇÃO (R$)</t>
  </si>
  <si>
    <t>SEÇÃO II - ENCARGOS SOCIAIS INCIDENTES SOBRE A REMUNERAÇÃO (R$)</t>
  </si>
  <si>
    <t>SEÇÃO III - INSUMOS</t>
  </si>
  <si>
    <t>SEÇÃO IV - INTRAJORNADA</t>
  </si>
  <si>
    <t>SEÇÃO V - LDI E TRIBUTAÇÃO</t>
  </si>
  <si>
    <t>INTRAJORNADA</t>
  </si>
  <si>
    <t>TOTAL - INTRAJORNADA (R$)</t>
  </si>
  <si>
    <t>TOTAL DE REMUNERAÇÃO + ENCARGOS SOCIAIS + INSUMOS + INTRAJORNADA (R$)</t>
  </si>
  <si>
    <t>Adicional de Periculosidade</t>
  </si>
  <si>
    <t>TOTAL DE REMUNERAÇÃO + ENCARGOS SOCIAIS + INSUMOS + INTRAJORNADA + LDI (R$)</t>
  </si>
  <si>
    <t>PREÇO MENSAL PARA 1 (UM) POSTO COM 2 (DOIS) EMPREGADOS (R$) - PREÇO MENSAL X 2 EMPREGADOS</t>
  </si>
  <si>
    <t>TOTAL - GRUPO A   - ENCARGOS</t>
  </si>
  <si>
    <t>TOTAL ENCARGOS SOCIAIS</t>
  </si>
  <si>
    <t>Vigilante Patrimonial 12x36 (Noturno)</t>
  </si>
  <si>
    <t>Adicional Noturno</t>
  </si>
  <si>
    <t>Hora Noturna Reduzida</t>
  </si>
  <si>
    <t>UNIFORME - Vigilante Patrimonial Armado</t>
  </si>
  <si>
    <t>Fiel duplo</t>
  </si>
  <si>
    <t>Boné</t>
  </si>
  <si>
    <t>Livro de ocorrências</t>
  </si>
  <si>
    <t>Apito</t>
  </si>
  <si>
    <t>Colete Balístico nível mínimo de segurança II-A</t>
  </si>
  <si>
    <t>EQUIPAMENTO e MUNIÇÃO - Vigilante Patrimonial Armado</t>
  </si>
  <si>
    <t>Custo Mensal Manut. Depre. dos Equipamentos e Munição (R$) (Custo Mensal Manutenção + Depreciação + Munição) →</t>
  </si>
  <si>
    <t>Munição calibre 38</t>
  </si>
  <si>
    <t>Blister c/10</t>
  </si>
  <si>
    <t>MUNIÇÃO</t>
  </si>
  <si>
    <t>Cinto Tático simples, cor preta</t>
  </si>
  <si>
    <t xml:space="preserve">Coturno extraleve, cor preta </t>
  </si>
  <si>
    <t>Custo Global Uniforme (R$) (∑ do Custo Total) →</t>
  </si>
  <si>
    <t>Custo Mensal Uniforme (R$) (Custo Global ÷ 12 meses) →</t>
  </si>
  <si>
    <t xml:space="preserve">Lanterna tipo cotovelo </t>
  </si>
  <si>
    <t xml:space="preserve">Coldre tipo Robocop </t>
  </si>
  <si>
    <t>Tonfa ou Cassetete tipo bastão retrátil em polímero, c/ capa</t>
  </si>
  <si>
    <t xml:space="preserve">Spray de Defesa Pessoal </t>
  </si>
  <si>
    <t>Colete Tático (caso o colete balístico não possua slots para cassetete, spray e taser)</t>
  </si>
  <si>
    <t xml:space="preserve">Porta munição tipo baleiro, minimo 5 projéteis </t>
  </si>
  <si>
    <t>TOTAL ANUAL (TOTAL MENSAL X 12 MESES) R$ →</t>
  </si>
  <si>
    <t>Equipamentos e munição</t>
  </si>
  <si>
    <t>Capa de Chuva tipo poncho militar</t>
  </si>
  <si>
    <t>Revólve calibre 38, 5 tiros, cano 2 polegadas</t>
  </si>
  <si>
    <t>Consulta no Painel de Preços e Sites Especializados de Dominio Amplo em fev/2021</t>
  </si>
  <si>
    <t>Radio comunicador completo (com bateria e carregador) Referência Motorola DEP 450</t>
  </si>
  <si>
    <t>Vlr. Bienal R$ (f= e x 2 anos)</t>
  </si>
  <si>
    <t>TOTAL BIANUAL (TOTAL ANUAL X 2 ANOS) R$ →</t>
  </si>
  <si>
    <t>QUADRO GERAL - ITEM 1 - VIGILANTE PATRIMONIAL ARMADO</t>
  </si>
  <si>
    <t>SubTotal Item 1.0 R$ →</t>
  </si>
  <si>
    <t xml:space="preserve">TOTAL MENSAL (SubTota Item 1.0) R$ → </t>
  </si>
  <si>
    <t xml:space="preserve">Meias longas de algodão, cor preta </t>
  </si>
  <si>
    <t>(Nome do Representante)
Representante da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</si>
</sst>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%"/>
    <numFmt numFmtId="166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6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65" fontId="1" fillId="2" borderId="1" xfId="4" quotePrefix="1" applyNumberFormat="1" applyFont="1" applyFill="1" applyBorder="1" applyAlignment="1" applyProtection="1">
      <alignment horizontal="center" vertical="center"/>
    </xf>
    <xf numFmtId="165" fontId="1" fillId="0" borderId="1" xfId="4" quotePrefix="1" applyNumberFormat="1" applyFont="1" applyFill="1" applyBorder="1" applyAlignment="1" applyProtection="1">
      <alignment horizontal="center" vertical="center"/>
    </xf>
    <xf numFmtId="165" fontId="1" fillId="2" borderId="1" xfId="5" applyNumberFormat="1" applyFont="1" applyFill="1" applyBorder="1" applyAlignment="1" applyProtection="1">
      <alignment horizontal="center" vertical="center"/>
    </xf>
    <xf numFmtId="165" fontId="1" fillId="2" borderId="1" xfId="5" quotePrefix="1" applyNumberFormat="1" applyFont="1" applyFill="1" applyBorder="1" applyAlignment="1" applyProtection="1">
      <alignment horizontal="center" vertical="center"/>
    </xf>
    <xf numFmtId="165" fontId="1" fillId="0" borderId="1" xfId="5" quotePrefix="1" applyNumberFormat="1" applyFont="1" applyFill="1" applyBorder="1" applyAlignment="1" applyProtection="1">
      <alignment horizontal="center" vertical="center"/>
    </xf>
    <xf numFmtId="165" fontId="7" fillId="0" borderId="1" xfId="5" quotePrefix="1" applyNumberFormat="1" applyFont="1" applyFill="1" applyBorder="1" applyAlignment="1" applyProtection="1">
      <alignment horizontal="center" vertical="center"/>
    </xf>
    <xf numFmtId="165" fontId="1" fillId="0" borderId="1" xfId="6" quotePrefix="1" applyNumberFormat="1" applyFont="1" applyBorder="1" applyAlignment="1">
      <alignment horizontal="center" vertical="center"/>
    </xf>
    <xf numFmtId="10" fontId="3" fillId="0" borderId="1" xfId="3" applyNumberFormat="1" applyFont="1" applyBorder="1" applyAlignment="1">
      <alignment horizontal="center" vertical="center" wrapText="1"/>
    </xf>
    <xf numFmtId="165" fontId="3" fillId="0" borderId="1" xfId="3" applyNumberFormat="1" applyFont="1" applyBorder="1" applyAlignment="1">
      <alignment horizontal="center" vertical="center" wrapText="1"/>
    </xf>
    <xf numFmtId="165" fontId="7" fillId="2" borderId="1" xfId="5" quotePrefix="1" applyNumberFormat="1" applyFont="1" applyFill="1" applyBorder="1" applyAlignment="1" applyProtection="1">
      <alignment horizontal="center" vertical="center"/>
    </xf>
    <xf numFmtId="9" fontId="0" fillId="0" borderId="0" xfId="3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3" fontId="11" fillId="6" borderId="1" xfId="0" applyNumberFormat="1" applyFont="1" applyFill="1" applyBorder="1" applyAlignment="1">
      <alignment horizontal="center" vertical="center"/>
    </xf>
    <xf numFmtId="4" fontId="11" fillId="6" borderId="1" xfId="0" applyNumberFormat="1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 wrapText="1"/>
    </xf>
    <xf numFmtId="165" fontId="4" fillId="6" borderId="1" xfId="3" applyNumberFormat="1" applyFont="1" applyFill="1" applyBorder="1" applyAlignment="1">
      <alignment horizontal="center" vertical="center" wrapText="1"/>
    </xf>
    <xf numFmtId="10" fontId="4" fillId="6" borderId="1" xfId="3" applyNumberFormat="1" applyFont="1" applyFill="1" applyBorder="1" applyAlignment="1">
      <alignment horizontal="center" vertical="center" wrapText="1"/>
    </xf>
    <xf numFmtId="4" fontId="11" fillId="6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165" fontId="8" fillId="6" borderId="1" xfId="3" applyNumberFormat="1" applyFont="1" applyFill="1" applyBorder="1" applyAlignment="1">
      <alignment horizontal="center"/>
    </xf>
    <xf numFmtId="165" fontId="12" fillId="6" borderId="1" xfId="3" applyNumberFormat="1" applyFont="1" applyFill="1" applyBorder="1" applyAlignment="1">
      <alignment horizontal="center"/>
    </xf>
    <xf numFmtId="165" fontId="3" fillId="3" borderId="1" xfId="3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165" fontId="1" fillId="3" borderId="1" xfId="5" applyNumberFormat="1" applyFont="1" applyFill="1" applyBorder="1" applyAlignment="1" applyProtection="1">
      <alignment horizontal="center" vertical="center"/>
    </xf>
    <xf numFmtId="165" fontId="1" fillId="3" borderId="1" xfId="5" quotePrefix="1" applyNumberFormat="1" applyFont="1" applyFill="1" applyBorder="1" applyAlignment="1" applyProtection="1">
      <alignment horizontal="center" vertical="center"/>
    </xf>
    <xf numFmtId="165" fontId="1" fillId="3" borderId="1" xfId="4" quotePrefix="1" applyNumberFormat="1" applyFont="1" applyFill="1" applyBorder="1" applyAlignment="1" applyProtection="1">
      <alignment horizontal="center" vertical="center"/>
    </xf>
    <xf numFmtId="165" fontId="1" fillId="3" borderId="1" xfId="6" quotePrefix="1" applyNumberFormat="1" applyFont="1" applyFill="1" applyBorder="1" applyAlignment="1">
      <alignment horizontal="center" vertical="center"/>
    </xf>
    <xf numFmtId="165" fontId="7" fillId="3" borderId="1" xfId="5" quotePrefix="1" applyNumberFormat="1" applyFont="1" applyFill="1" applyBorder="1" applyAlignment="1" applyProtection="1">
      <alignment horizontal="center" vertical="center"/>
    </xf>
    <xf numFmtId="2" fontId="5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10" fontId="3" fillId="3" borderId="1" xfId="3" applyNumberFormat="1" applyFont="1" applyFill="1" applyBorder="1" applyAlignment="1">
      <alignment horizontal="center" vertical="center" wrapText="1"/>
    </xf>
    <xf numFmtId="165" fontId="3" fillId="2" borderId="1" xfId="3" applyNumberFormat="1" applyFont="1" applyFill="1" applyBorder="1" applyAlignment="1">
      <alignment horizontal="right" vertical="center" wrapText="1"/>
    </xf>
    <xf numFmtId="165" fontId="3" fillId="3" borderId="1" xfId="3" applyNumberFormat="1" applyFont="1" applyFill="1" applyBorder="1" applyAlignment="1">
      <alignment horizontal="right" vertical="center" wrapText="1"/>
    </xf>
    <xf numFmtId="0" fontId="10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center" vertical="center"/>
    </xf>
    <xf numFmtId="4" fontId="4" fillId="6" borderId="6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 wrapText="1"/>
    </xf>
    <xf numFmtId="4" fontId="3" fillId="3" borderId="5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4" fontId="3" fillId="3" borderId="6" xfId="0" applyNumberFormat="1" applyFont="1" applyFill="1" applyBorder="1" applyAlignment="1">
      <alignment horizontal="center" vertical="center" wrapText="1"/>
    </xf>
    <xf numFmtId="4" fontId="11" fillId="6" borderId="6" xfId="0" applyNumberFormat="1" applyFont="1" applyFill="1" applyBorder="1" applyAlignment="1">
      <alignment horizontal="center" vertical="center"/>
    </xf>
    <xf numFmtId="4" fontId="11" fillId="6" borderId="3" xfId="0" applyNumberFormat="1" applyFont="1" applyFill="1" applyBorder="1" applyAlignment="1">
      <alignment horizontal="center" vertical="center"/>
    </xf>
    <xf numFmtId="4" fontId="11" fillId="6" borderId="5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166" fontId="10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1" fillId="6" borderId="6" xfId="0" applyFont="1" applyFill="1" applyBorder="1" applyAlignment="1">
      <alignment horizontal="right" vertical="center"/>
    </xf>
    <xf numFmtId="0" fontId="11" fillId="6" borderId="3" xfId="0" applyFont="1" applyFill="1" applyBorder="1" applyAlignment="1">
      <alignment horizontal="right" vertical="center"/>
    </xf>
    <xf numFmtId="0" fontId="11" fillId="6" borderId="5" xfId="0" applyFont="1" applyFill="1" applyBorder="1" applyAlignment="1">
      <alignment horizontal="right" vertical="center"/>
    </xf>
    <xf numFmtId="0" fontId="10" fillId="7" borderId="6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right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4" fillId="6" borderId="6" xfId="0" applyFont="1" applyFill="1" applyBorder="1" applyAlignment="1">
      <alignment horizontal="right" vertical="center" wrapText="1"/>
    </xf>
    <xf numFmtId="0" fontId="4" fillId="6" borderId="5" xfId="0" applyFont="1" applyFill="1" applyBorder="1" applyAlignment="1">
      <alignment horizontal="right" vertical="center" wrapText="1"/>
    </xf>
    <xf numFmtId="0" fontId="4" fillId="6" borderId="3" xfId="0" applyFont="1" applyFill="1" applyBorder="1" applyAlignment="1">
      <alignment horizontal="right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11" fillId="6" borderId="6" xfId="0" applyFont="1" applyFill="1" applyBorder="1" applyAlignment="1">
      <alignment horizontal="right" vertical="center" wrapText="1"/>
    </xf>
    <xf numFmtId="0" fontId="11" fillId="6" borderId="3" xfId="0" applyFont="1" applyFill="1" applyBorder="1" applyAlignment="1">
      <alignment horizontal="right" vertical="center" wrapText="1"/>
    </xf>
    <xf numFmtId="0" fontId="11" fillId="6" borderId="5" xfId="0" applyFont="1" applyFill="1" applyBorder="1" applyAlignment="1">
      <alignment horizontal="righ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6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right" vertical="center"/>
    </xf>
    <xf numFmtId="0" fontId="4" fillId="6" borderId="3" xfId="0" applyFont="1" applyFill="1" applyBorder="1" applyAlignment="1">
      <alignment horizontal="right" vertical="center"/>
    </xf>
    <xf numFmtId="0" fontId="4" fillId="6" borderId="5" xfId="0" applyFont="1" applyFill="1" applyBorder="1" applyAlignment="1">
      <alignment horizontal="right" vertical="center"/>
    </xf>
    <xf numFmtId="0" fontId="10" fillId="5" borderId="6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</cellXfs>
  <cellStyles count="7">
    <cellStyle name="Normal" xfId="0" builtinId="0"/>
    <cellStyle name="Normal 2 2" xfId="1" xr:uid="{00000000-0005-0000-0000-000001000000}"/>
    <cellStyle name="Normal 2 2 2" xfId="6" xr:uid="{1E097E8A-34D9-48BB-A7D3-C42B4384A7A0}"/>
    <cellStyle name="Porcentagem" xfId="3" builtinId="5"/>
    <cellStyle name="Porcentagem 10 2" xfId="5" xr:uid="{19BD54D8-2E3C-4D39-BD49-13A42D1DDBBA}"/>
    <cellStyle name="Porcentagem 13" xfId="4" xr:uid="{35DEB145-C009-4447-8DC4-3266326AD0FE}"/>
    <cellStyle name="Separador de milhares 2_ORÇAMENTO matureia corrigido (DEZ 2009)" xfId="2" xr:uid="{00000000-0005-0000-0000-000002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93</xdr:row>
      <xdr:rowOff>40219</xdr:rowOff>
    </xdr:from>
    <xdr:ext cx="62902" cy="172227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id="{00000000-0008-0000-0300-000002000000}"/>
                </a:ext>
              </a:extLst>
            </xdr:cNvPr>
            <xdr:cNvSpPr txBox="1"/>
          </xdr:nvSpPr>
          <xdr:spPr>
            <a:xfrm>
              <a:off x="4869180" y="30779299"/>
              <a:ext cx="62902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nor/>
                      </m:rPr>
                      <a:rPr lang="pt-BR" sz="1100" b="0" i="0">
                        <a:latin typeface="Cambria Math" panose="02040503050406030204" pitchFamily="18" charset="0"/>
                      </a:rPr>
                      <m:t> </m:t>
                    </m:r>
                  </m:oMath>
                </m:oMathPara>
              </a14:m>
              <a:endParaRPr lang="pt-BR" sz="1100"/>
            </a:p>
          </xdr:txBody>
        </xdr:sp>
      </mc:Choice>
      <mc:Fallback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id="{00000000-0008-0000-0300-000002000000}"/>
                </a:ext>
              </a:extLst>
            </xdr:cNvPr>
            <xdr:cNvSpPr txBox="1"/>
          </xdr:nvSpPr>
          <xdr:spPr>
            <a:xfrm>
              <a:off x="4869180" y="30779299"/>
              <a:ext cx="62902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pt-BR" sz="1100" b="0" i="0">
                  <a:latin typeface="Cambria Math" panose="02040503050406030204" pitchFamily="18" charset="0"/>
                </a:rPr>
                <a:t>" "</a:t>
              </a:r>
              <a:endParaRPr lang="pt-BR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6"/>
  <sheetViews>
    <sheetView tabSelected="1" view="pageBreakPreview" zoomScaleNormal="100" zoomScaleSheetLayoutView="100" workbookViewId="0">
      <selection activeCell="E22" sqref="F22"/>
    </sheetView>
  </sheetViews>
  <sheetFormatPr defaultRowHeight="14.4" x14ac:dyDescent="0.3"/>
  <cols>
    <col min="2" max="6" width="6.5546875" customWidth="1"/>
    <col min="7" max="7" width="12.77734375" customWidth="1"/>
    <col min="8" max="8" width="14.21875" customWidth="1"/>
    <col min="9" max="9" width="14" customWidth="1"/>
    <col min="10" max="11" width="12.77734375" customWidth="1"/>
    <col min="12" max="12" width="13.77734375" customWidth="1"/>
  </cols>
  <sheetData>
    <row r="1" spans="1:14" x14ac:dyDescent="0.3">
      <c r="A1" s="96" t="s">
        <v>162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8"/>
    </row>
    <row r="2" spans="1:14" x14ac:dyDescent="0.3">
      <c r="A2" s="50" t="s">
        <v>100</v>
      </c>
      <c r="B2" s="99" t="s">
        <v>105</v>
      </c>
      <c r="C2" s="100"/>
      <c r="D2" s="100"/>
      <c r="E2" s="100"/>
      <c r="F2" s="100"/>
      <c r="G2" s="100"/>
      <c r="H2" s="100"/>
      <c r="I2" s="100"/>
      <c r="J2" s="100"/>
      <c r="K2" s="100"/>
      <c r="L2" s="101"/>
    </row>
    <row r="3" spans="1:14" ht="52.8" x14ac:dyDescent="0.3">
      <c r="A3" s="74" t="s">
        <v>87</v>
      </c>
      <c r="B3" s="99" t="s">
        <v>88</v>
      </c>
      <c r="C3" s="100"/>
      <c r="D3" s="100"/>
      <c r="E3" s="100"/>
      <c r="F3" s="101"/>
      <c r="G3" s="55" t="s">
        <v>95</v>
      </c>
      <c r="H3" s="55" t="s">
        <v>97</v>
      </c>
      <c r="I3" s="55" t="s">
        <v>96</v>
      </c>
      <c r="J3" s="55" t="s">
        <v>98</v>
      </c>
      <c r="K3" s="55" t="s">
        <v>99</v>
      </c>
      <c r="L3" s="55" t="s">
        <v>160</v>
      </c>
    </row>
    <row r="4" spans="1:14" ht="14.55" customHeight="1" x14ac:dyDescent="0.3">
      <c r="A4" s="46" t="s">
        <v>89</v>
      </c>
      <c r="B4" s="102" t="s">
        <v>109</v>
      </c>
      <c r="C4" s="103"/>
      <c r="D4" s="103"/>
      <c r="E4" s="103"/>
      <c r="F4" s="104"/>
      <c r="G4" s="46">
        <v>1</v>
      </c>
      <c r="H4" s="36">
        <f>'Vigilante Diurno 12x36'!D102</f>
        <v>5048.2700000000004</v>
      </c>
      <c r="I4" s="3">
        <v>2</v>
      </c>
      <c r="J4" s="36">
        <f>ROUND(G4*H4*I4,2)</f>
        <v>10096.540000000001</v>
      </c>
      <c r="K4" s="36">
        <f>ROUND(J4*12,2)</f>
        <v>121158.48</v>
      </c>
      <c r="L4" s="36">
        <f>ROUND(K4*2,2)</f>
        <v>242316.96</v>
      </c>
    </row>
    <row r="5" spans="1:14" ht="14.55" customHeight="1" x14ac:dyDescent="0.3">
      <c r="A5" s="75" t="s">
        <v>90</v>
      </c>
      <c r="B5" s="105" t="s">
        <v>110</v>
      </c>
      <c r="C5" s="106"/>
      <c r="D5" s="106"/>
      <c r="E5" s="106"/>
      <c r="F5" s="107"/>
      <c r="G5" s="75">
        <v>1</v>
      </c>
      <c r="H5" s="77">
        <f>'Vigilante Noturno 12x36'!D104</f>
        <v>5801.97</v>
      </c>
      <c r="I5" s="79">
        <v>2</v>
      </c>
      <c r="J5" s="77">
        <f>ROUND(G5*H5*I5,2)</f>
        <v>11603.94</v>
      </c>
      <c r="K5" s="77">
        <f>ROUND(J5*12,2)</f>
        <v>139247.28</v>
      </c>
      <c r="L5" s="77">
        <f>ROUND(K5*2,2)</f>
        <v>278494.56</v>
      </c>
    </row>
    <row r="6" spans="1:14" x14ac:dyDescent="0.3">
      <c r="A6" s="93" t="s">
        <v>163</v>
      </c>
      <c r="B6" s="94"/>
      <c r="C6" s="94"/>
      <c r="D6" s="94"/>
      <c r="E6" s="94"/>
      <c r="F6" s="95"/>
      <c r="G6" s="48">
        <f>SUM(G4:G5)</f>
        <v>2</v>
      </c>
      <c r="H6" s="49">
        <f>ROUND(SUM(H4:H5),2)</f>
        <v>10850.24</v>
      </c>
      <c r="I6" s="48">
        <f>SUM(I4:I5)</f>
        <v>4</v>
      </c>
      <c r="J6" s="49">
        <f>ROUND(SUM(J4:J5),2)</f>
        <v>21700.48</v>
      </c>
      <c r="K6" s="49">
        <f>ROUND(SUM(K4:K5),2)</f>
        <v>260405.76000000001</v>
      </c>
      <c r="L6" s="49">
        <f>ROUND(SUM(L4:L5),2)</f>
        <v>520811.52000000002</v>
      </c>
    </row>
    <row r="7" spans="1:14" ht="5.0999999999999996" customHeight="1" x14ac:dyDescent="0.3">
      <c r="A7" s="102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4"/>
    </row>
    <row r="8" spans="1:14" x14ac:dyDescent="0.3">
      <c r="A8" s="93" t="s">
        <v>164</v>
      </c>
      <c r="B8" s="94"/>
      <c r="C8" s="94"/>
      <c r="D8" s="94"/>
      <c r="E8" s="94"/>
      <c r="F8" s="94"/>
      <c r="G8" s="94"/>
      <c r="H8" s="94"/>
      <c r="I8" s="95"/>
      <c r="J8" s="84">
        <f>ROUND(J6,2)</f>
        <v>21700.48</v>
      </c>
      <c r="K8" s="85"/>
      <c r="L8" s="86"/>
    </row>
    <row r="9" spans="1:14" x14ac:dyDescent="0.3">
      <c r="A9" s="93" t="s">
        <v>154</v>
      </c>
      <c r="B9" s="94"/>
      <c r="C9" s="94"/>
      <c r="D9" s="94"/>
      <c r="E9" s="94"/>
      <c r="F9" s="94"/>
      <c r="G9" s="94"/>
      <c r="H9" s="94"/>
      <c r="I9" s="95"/>
      <c r="J9" s="84">
        <f>ROUND(J8*12,2)</f>
        <v>260405.76000000001</v>
      </c>
      <c r="K9" s="85"/>
      <c r="L9" s="86"/>
      <c r="N9" s="28"/>
    </row>
    <row r="10" spans="1:14" x14ac:dyDescent="0.3">
      <c r="A10" s="93" t="s">
        <v>161</v>
      </c>
      <c r="B10" s="94"/>
      <c r="C10" s="94"/>
      <c r="D10" s="94"/>
      <c r="E10" s="94"/>
      <c r="F10" s="94"/>
      <c r="G10" s="94"/>
      <c r="H10" s="94"/>
      <c r="I10" s="95"/>
      <c r="J10" s="84">
        <f>ROUND(J9*2,2)</f>
        <v>520811.52000000002</v>
      </c>
      <c r="K10" s="85"/>
      <c r="L10" s="86"/>
      <c r="N10" s="28"/>
    </row>
    <row r="11" spans="1:14" x14ac:dyDescent="0.3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</row>
    <row r="12" spans="1:14" x14ac:dyDescent="0.3">
      <c r="A12" s="42"/>
      <c r="B12" s="42"/>
      <c r="C12" s="42"/>
      <c r="D12" s="42"/>
      <c r="E12" s="42"/>
      <c r="F12" s="42"/>
      <c r="G12" s="42"/>
      <c r="H12" s="89">
        <v>44244</v>
      </c>
      <c r="I12" s="89"/>
      <c r="J12" s="89"/>
      <c r="K12" s="89"/>
      <c r="L12" s="89"/>
    </row>
    <row r="13" spans="1:14" x14ac:dyDescent="0.3">
      <c r="A13" s="42"/>
      <c r="B13" s="42"/>
      <c r="C13" s="42"/>
      <c r="D13" s="42"/>
      <c r="E13" s="42"/>
      <c r="F13" s="42"/>
      <c r="G13" s="42"/>
      <c r="H13" s="89"/>
      <c r="I13" s="89"/>
      <c r="J13" s="89"/>
      <c r="K13" s="89"/>
      <c r="L13" s="89"/>
    </row>
    <row r="14" spans="1:14" x14ac:dyDescent="0.3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</row>
    <row r="15" spans="1:14" x14ac:dyDescent="0.3">
      <c r="A15" s="90" t="s">
        <v>107</v>
      </c>
      <c r="B15" s="90"/>
      <c r="C15" s="90"/>
      <c r="D15" s="91"/>
      <c r="E15" s="92"/>
      <c r="F15" s="92"/>
      <c r="G15" s="92"/>
      <c r="H15" s="42"/>
      <c r="I15" s="42"/>
      <c r="J15" s="42"/>
      <c r="K15" s="42"/>
      <c r="L15" s="42"/>
    </row>
    <row r="16" spans="1:14" ht="47.55" customHeight="1" x14ac:dyDescent="0.3">
      <c r="A16" s="42"/>
      <c r="B16" s="42"/>
      <c r="C16" s="42"/>
      <c r="D16" s="87" t="s">
        <v>166</v>
      </c>
      <c r="E16" s="88"/>
      <c r="F16" s="88"/>
      <c r="G16" s="88"/>
      <c r="H16" s="42"/>
      <c r="I16" s="42"/>
      <c r="J16" s="42"/>
      <c r="K16" s="42"/>
      <c r="L16" s="42"/>
    </row>
  </sheetData>
  <mergeCells count="17">
    <mergeCell ref="A9:I9"/>
    <mergeCell ref="J9:L9"/>
    <mergeCell ref="A7:L7"/>
    <mergeCell ref="A8:I8"/>
    <mergeCell ref="J8:L8"/>
    <mergeCell ref="A1:L1"/>
    <mergeCell ref="B3:F3"/>
    <mergeCell ref="B4:F4"/>
    <mergeCell ref="B5:F5"/>
    <mergeCell ref="A6:F6"/>
    <mergeCell ref="B2:L2"/>
    <mergeCell ref="J10:L10"/>
    <mergeCell ref="D16:G16"/>
    <mergeCell ref="H12:L13"/>
    <mergeCell ref="A15:C15"/>
    <mergeCell ref="D15:G15"/>
    <mergeCell ref="A10:I10"/>
  </mergeCells>
  <printOptions horizontalCentered="1" verticalCentered="1"/>
  <pageMargins left="0.51181102362204722" right="0.51181102362204722" top="0.98425196850393704" bottom="0.98425196850393704" header="0.31496062992125984" footer="0.31496062992125984"/>
  <pageSetup paperSize="9" fitToHeight="0" orientation="landscape" r:id="rId1"/>
  <headerFooter>
    <oddFooter>&amp;C&amp;"Arial,Normal"&amp;8Página &amp;P de &amp;N</oddFooter>
  </headerFooter>
  <ignoredErrors>
    <ignoredError sqref="H6:I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113"/>
  <sheetViews>
    <sheetView view="pageBreakPreview" topLeftCell="A94" zoomScaleNormal="100" zoomScaleSheetLayoutView="100" workbookViewId="0">
      <selection activeCell="F98" sqref="F98"/>
    </sheetView>
  </sheetViews>
  <sheetFormatPr defaultRowHeight="14.4" x14ac:dyDescent="0.3"/>
  <cols>
    <col min="1" max="1" width="33.44140625" customWidth="1"/>
    <col min="2" max="2" width="14.5546875" customWidth="1"/>
    <col min="3" max="3" width="10.77734375" customWidth="1"/>
    <col min="4" max="4" width="12.21875" customWidth="1"/>
  </cols>
  <sheetData>
    <row r="1" spans="1:4" ht="33" customHeight="1" x14ac:dyDescent="0.3">
      <c r="A1" s="143" t="s">
        <v>0</v>
      </c>
      <c r="B1" s="143"/>
      <c r="C1" s="143"/>
      <c r="D1" s="143"/>
    </row>
    <row r="2" spans="1:4" x14ac:dyDescent="0.3">
      <c r="A2" s="58" t="s">
        <v>2</v>
      </c>
      <c r="B2" s="111" t="s">
        <v>111</v>
      </c>
      <c r="C2" s="111"/>
      <c r="D2" s="111"/>
    </row>
    <row r="3" spans="1:4" ht="15" customHeight="1" x14ac:dyDescent="0.3">
      <c r="A3" s="58" t="s">
        <v>75</v>
      </c>
      <c r="B3" s="136" t="s">
        <v>112</v>
      </c>
      <c r="C3" s="136"/>
      <c r="D3" s="136"/>
    </row>
    <row r="4" spans="1:4" ht="15" customHeight="1" x14ac:dyDescent="0.3">
      <c r="A4" s="59" t="s">
        <v>1</v>
      </c>
      <c r="B4" s="111" t="s">
        <v>113</v>
      </c>
      <c r="C4" s="111"/>
      <c r="D4" s="111"/>
    </row>
    <row r="5" spans="1:4" ht="26.4" x14ac:dyDescent="0.3">
      <c r="A5" s="59" t="s">
        <v>3</v>
      </c>
      <c r="B5" s="136">
        <v>1</v>
      </c>
      <c r="C5" s="136"/>
      <c r="D5" s="136"/>
    </row>
    <row r="6" spans="1:4" ht="76.5" customHeight="1" x14ac:dyDescent="0.3">
      <c r="A6" s="59" t="s">
        <v>76</v>
      </c>
      <c r="B6" s="111" t="s">
        <v>114</v>
      </c>
      <c r="C6" s="111"/>
      <c r="D6" s="111"/>
    </row>
    <row r="7" spans="1:4" ht="21" customHeight="1" x14ac:dyDescent="0.3">
      <c r="A7" s="5"/>
      <c r="B7" s="6"/>
      <c r="C7" s="7"/>
      <c r="D7" s="7"/>
    </row>
    <row r="8" spans="1:4" x14ac:dyDescent="0.3">
      <c r="A8" s="8"/>
      <c r="B8" s="8"/>
      <c r="C8" s="8"/>
      <c r="D8" s="8"/>
    </row>
    <row r="9" spans="1:4" x14ac:dyDescent="0.3">
      <c r="A9" s="144" t="s">
        <v>4</v>
      </c>
      <c r="B9" s="144"/>
      <c r="C9" s="144"/>
      <c r="D9" s="144"/>
    </row>
    <row r="10" spans="1:4" x14ac:dyDescent="0.3">
      <c r="A10" s="137" t="s">
        <v>117</v>
      </c>
      <c r="B10" s="138"/>
      <c r="C10" s="138"/>
      <c r="D10" s="139"/>
    </row>
    <row r="11" spans="1:4" x14ac:dyDescent="0.3">
      <c r="A11" s="130" t="s">
        <v>5</v>
      </c>
      <c r="B11" s="132"/>
      <c r="C11" s="55" t="s">
        <v>6</v>
      </c>
      <c r="D11" s="55" t="s">
        <v>7</v>
      </c>
    </row>
    <row r="12" spans="1:4" ht="40.5" customHeight="1" x14ac:dyDescent="0.3">
      <c r="A12" s="133" t="s">
        <v>8</v>
      </c>
      <c r="B12" s="134"/>
      <c r="C12" s="2" t="s">
        <v>65</v>
      </c>
      <c r="D12" s="9">
        <v>1372.86</v>
      </c>
    </row>
    <row r="13" spans="1:4" ht="40.5" customHeight="1" x14ac:dyDescent="0.3">
      <c r="A13" s="112" t="s">
        <v>125</v>
      </c>
      <c r="B13" s="114"/>
      <c r="C13" s="62">
        <v>0.3</v>
      </c>
      <c r="D13" s="63">
        <f>ROUND(C13*D12,2)</f>
        <v>411.86</v>
      </c>
    </row>
    <row r="14" spans="1:4" ht="15" customHeight="1" x14ac:dyDescent="0.3">
      <c r="A14" s="119" t="s">
        <v>91</v>
      </c>
      <c r="B14" s="121"/>
      <c r="C14" s="10"/>
      <c r="D14" s="11">
        <f>C14*D12/100</f>
        <v>0</v>
      </c>
    </row>
    <row r="15" spans="1:4" x14ac:dyDescent="0.3">
      <c r="A15" s="108" t="s">
        <v>20</v>
      </c>
      <c r="B15" s="108"/>
      <c r="C15" s="108"/>
      <c r="D15" s="51">
        <f>ROUND(SUM(D12:D14),2)</f>
        <v>1784.72</v>
      </c>
    </row>
    <row r="16" spans="1:4" x14ac:dyDescent="0.3">
      <c r="A16" s="7"/>
      <c r="B16" s="7"/>
      <c r="C16" s="7"/>
      <c r="D16" s="7"/>
    </row>
    <row r="17" spans="1:4" x14ac:dyDescent="0.3">
      <c r="A17" s="109" t="s">
        <v>118</v>
      </c>
      <c r="B17" s="109"/>
      <c r="C17" s="109"/>
      <c r="D17" s="109"/>
    </row>
    <row r="18" spans="1:4" x14ac:dyDescent="0.3">
      <c r="A18" s="109" t="s">
        <v>10</v>
      </c>
      <c r="B18" s="109"/>
      <c r="C18" s="55" t="s">
        <v>6</v>
      </c>
      <c r="D18" s="55" t="s">
        <v>7</v>
      </c>
    </row>
    <row r="19" spans="1:4" x14ac:dyDescent="0.3">
      <c r="A19" s="133" t="s">
        <v>11</v>
      </c>
      <c r="B19" s="134"/>
      <c r="C19" s="20">
        <v>0.2</v>
      </c>
      <c r="D19" s="11">
        <f>ROUND($D$15*C19,2)</f>
        <v>356.94</v>
      </c>
    </row>
    <row r="20" spans="1:4" x14ac:dyDescent="0.3">
      <c r="A20" s="122" t="s">
        <v>12</v>
      </c>
      <c r="B20" s="123"/>
      <c r="C20" s="64">
        <v>0.08</v>
      </c>
      <c r="D20" s="63">
        <f t="shared" ref="D20:D26" si="0">ROUND($D$15*C20,2)</f>
        <v>142.78</v>
      </c>
    </row>
    <row r="21" spans="1:4" x14ac:dyDescent="0.3">
      <c r="A21" s="133" t="s">
        <v>13</v>
      </c>
      <c r="B21" s="134"/>
      <c r="C21" s="20">
        <v>1.4999999999999999E-2</v>
      </c>
      <c r="D21" s="11">
        <f t="shared" si="0"/>
        <v>26.77</v>
      </c>
    </row>
    <row r="22" spans="1:4" ht="25.5" customHeight="1" x14ac:dyDescent="0.3">
      <c r="A22" s="122" t="s">
        <v>14</v>
      </c>
      <c r="B22" s="123"/>
      <c r="C22" s="64">
        <v>0.01</v>
      </c>
      <c r="D22" s="63">
        <f t="shared" si="0"/>
        <v>17.850000000000001</v>
      </c>
    </row>
    <row r="23" spans="1:4" ht="28.5" customHeight="1" x14ac:dyDescent="0.3">
      <c r="A23" s="133" t="s">
        <v>15</v>
      </c>
      <c r="B23" s="134"/>
      <c r="C23" s="20">
        <v>2E-3</v>
      </c>
      <c r="D23" s="11">
        <f t="shared" si="0"/>
        <v>3.57</v>
      </c>
    </row>
    <row r="24" spans="1:4" x14ac:dyDescent="0.3">
      <c r="A24" s="122" t="s">
        <v>16</v>
      </c>
      <c r="B24" s="123"/>
      <c r="C24" s="64">
        <v>6.0000000000000001E-3</v>
      </c>
      <c r="D24" s="63">
        <f t="shared" si="0"/>
        <v>10.71</v>
      </c>
    </row>
    <row r="25" spans="1:4" x14ac:dyDescent="0.3">
      <c r="A25" s="119" t="s">
        <v>17</v>
      </c>
      <c r="B25" s="121"/>
      <c r="C25" s="20">
        <v>2.5000000000000001E-2</v>
      </c>
      <c r="D25" s="11">
        <f t="shared" si="0"/>
        <v>44.62</v>
      </c>
    </row>
    <row r="26" spans="1:4" ht="39.75" customHeight="1" x14ac:dyDescent="0.3">
      <c r="A26" s="112" t="s">
        <v>18</v>
      </c>
      <c r="B26" s="114"/>
      <c r="C26" s="65">
        <v>0.06</v>
      </c>
      <c r="D26" s="63">
        <f t="shared" si="0"/>
        <v>107.08</v>
      </c>
    </row>
    <row r="27" spans="1:4" x14ac:dyDescent="0.3">
      <c r="A27" s="127" t="s">
        <v>19</v>
      </c>
      <c r="B27" s="128"/>
      <c r="C27" s="52">
        <f>ROUND(SUM(C19:C26),5)</f>
        <v>0.39800000000000002</v>
      </c>
      <c r="D27" s="51">
        <f>ROUND(SUM(D19:D26),2)</f>
        <v>710.32</v>
      </c>
    </row>
    <row r="28" spans="1:4" x14ac:dyDescent="0.3">
      <c r="A28" s="12"/>
      <c r="B28" s="12"/>
      <c r="C28" s="13"/>
      <c r="D28" s="14"/>
    </row>
    <row r="29" spans="1:4" x14ac:dyDescent="0.3">
      <c r="A29" s="109" t="s">
        <v>21</v>
      </c>
      <c r="B29" s="109"/>
      <c r="C29" s="55" t="s">
        <v>6</v>
      </c>
      <c r="D29" s="55" t="s">
        <v>7</v>
      </c>
    </row>
    <row r="30" spans="1:4" ht="35.1" customHeight="1" x14ac:dyDescent="0.3">
      <c r="A30" s="119" t="s">
        <v>22</v>
      </c>
      <c r="B30" s="121"/>
      <c r="C30" s="18">
        <f>ROUND(1/12,5)</f>
        <v>8.3330000000000001E-2</v>
      </c>
      <c r="D30" s="11">
        <f>ROUND($D$15*C30,2)</f>
        <v>148.72</v>
      </c>
    </row>
    <row r="31" spans="1:4" ht="35.1" customHeight="1" x14ac:dyDescent="0.3">
      <c r="A31" s="122" t="s">
        <v>23</v>
      </c>
      <c r="B31" s="123"/>
      <c r="C31" s="66">
        <f>ROUND((1/12),5)</f>
        <v>8.3330000000000001E-2</v>
      </c>
      <c r="D31" s="63">
        <f t="shared" ref="D31:D37" si="1">ROUND($D$15*C31,2)</f>
        <v>148.72</v>
      </c>
    </row>
    <row r="32" spans="1:4" ht="35.1" customHeight="1" x14ac:dyDescent="0.3">
      <c r="A32" s="133" t="s">
        <v>24</v>
      </c>
      <c r="B32" s="134"/>
      <c r="C32" s="19">
        <f>ROUND((((100% / 30) * 7) / 12),5)</f>
        <v>1.9439999999999999E-2</v>
      </c>
      <c r="D32" s="11">
        <f t="shared" si="1"/>
        <v>34.69</v>
      </c>
    </row>
    <row r="33" spans="1:4" ht="39.6" customHeight="1" x14ac:dyDescent="0.3">
      <c r="A33" s="122" t="s">
        <v>25</v>
      </c>
      <c r="B33" s="123"/>
      <c r="C33" s="66">
        <f>ROUND((1462463/54796761)/12,5)</f>
        <v>2.2200000000000002E-3</v>
      </c>
      <c r="D33" s="63">
        <f t="shared" si="1"/>
        <v>3.96</v>
      </c>
    </row>
    <row r="34" spans="1:4" ht="35.1" customHeight="1" x14ac:dyDescent="0.3">
      <c r="A34" s="133" t="s">
        <v>26</v>
      </c>
      <c r="B34" s="134"/>
      <c r="C34" s="19">
        <f>ROUND((((100% /30) * 15) / 12) * 1.22%,5)</f>
        <v>5.1000000000000004E-4</v>
      </c>
      <c r="D34" s="11">
        <f t="shared" si="1"/>
        <v>0.91</v>
      </c>
    </row>
    <row r="35" spans="1:4" ht="35.1" customHeight="1" x14ac:dyDescent="0.3">
      <c r="A35" s="122" t="s">
        <v>27</v>
      </c>
      <c r="B35" s="123"/>
      <c r="C35" s="66">
        <f>ROUND(((100%/30)*1.4947)/12,5)</f>
        <v>4.15E-3</v>
      </c>
      <c r="D35" s="63">
        <f t="shared" si="1"/>
        <v>7.41</v>
      </c>
    </row>
    <row r="36" spans="1:4" ht="35.1" customHeight="1" x14ac:dyDescent="0.3">
      <c r="A36" s="133" t="s">
        <v>28</v>
      </c>
      <c r="B36" s="134"/>
      <c r="C36" s="19">
        <f>ROUND((8.333%*1.416%*4/12),5)</f>
        <v>3.8999999999999999E-4</v>
      </c>
      <c r="D36" s="11">
        <f t="shared" si="1"/>
        <v>0.7</v>
      </c>
    </row>
    <row r="37" spans="1:4" ht="35.1" customHeight="1" x14ac:dyDescent="0.3">
      <c r="A37" s="122" t="s">
        <v>29</v>
      </c>
      <c r="B37" s="123"/>
      <c r="C37" s="66">
        <f>ROUND((((100%/30)*5)/12)*1.416%,5)</f>
        <v>2.0000000000000001E-4</v>
      </c>
      <c r="D37" s="63">
        <f t="shared" si="1"/>
        <v>0.36</v>
      </c>
    </row>
    <row r="38" spans="1:4" x14ac:dyDescent="0.3">
      <c r="A38" s="127" t="s">
        <v>30</v>
      </c>
      <c r="B38" s="128"/>
      <c r="C38" s="52">
        <f>ROUND(SUM(C30:C37),5)</f>
        <v>0.19356999999999999</v>
      </c>
      <c r="D38" s="51">
        <f>ROUND(SUM(D30:D37),2)</f>
        <v>345.47</v>
      </c>
    </row>
    <row r="39" spans="1:4" x14ac:dyDescent="0.3">
      <c r="A39" s="12"/>
      <c r="B39" s="12"/>
      <c r="C39" s="15"/>
      <c r="D39" s="14"/>
    </row>
    <row r="40" spans="1:4" x14ac:dyDescent="0.3">
      <c r="A40" s="130" t="s">
        <v>31</v>
      </c>
      <c r="B40" s="132"/>
      <c r="C40" s="55" t="s">
        <v>6</v>
      </c>
      <c r="D40" s="55" t="s">
        <v>7</v>
      </c>
    </row>
    <row r="41" spans="1:4" ht="23.1" customHeight="1" x14ac:dyDescent="0.3">
      <c r="A41" s="133" t="s">
        <v>32</v>
      </c>
      <c r="B41" s="134"/>
      <c r="C41" s="22">
        <f>ROUND(1/12*5%,5)</f>
        <v>4.1700000000000001E-3</v>
      </c>
      <c r="D41" s="11">
        <f>ROUND($D$15*C41,2)</f>
        <v>7.44</v>
      </c>
    </row>
    <row r="42" spans="1:4" ht="23.1" customHeight="1" x14ac:dyDescent="0.3">
      <c r="A42" s="122" t="s">
        <v>33</v>
      </c>
      <c r="B42" s="123"/>
      <c r="C42" s="65">
        <f>ROUND(1/12*3.4275%,5)</f>
        <v>2.8600000000000001E-3</v>
      </c>
      <c r="D42" s="63">
        <f>ROUND($D$15*C42,2)</f>
        <v>5.0999999999999996</v>
      </c>
    </row>
    <row r="43" spans="1:4" ht="23.1" customHeight="1" x14ac:dyDescent="0.3">
      <c r="A43" s="133" t="s">
        <v>34</v>
      </c>
      <c r="B43" s="134"/>
      <c r="C43" s="23">
        <f>ROUND(40%*8%,5)</f>
        <v>3.2000000000000001E-2</v>
      </c>
      <c r="D43" s="11">
        <f>ROUND($D$15*C43,2)</f>
        <v>57.11</v>
      </c>
    </row>
    <row r="44" spans="1:4" ht="23.1" customHeight="1" x14ac:dyDescent="0.3">
      <c r="A44" s="122" t="s">
        <v>92</v>
      </c>
      <c r="B44" s="123"/>
      <c r="C44" s="67">
        <f>ROUND(1/3*1/12,5)</f>
        <v>2.7779999999999999E-2</v>
      </c>
      <c r="D44" s="63">
        <f>ROUND($D$15*C44,2)</f>
        <v>49.58</v>
      </c>
    </row>
    <row r="45" spans="1:4" ht="23.1" customHeight="1" x14ac:dyDescent="0.3">
      <c r="A45" s="133" t="s">
        <v>93</v>
      </c>
      <c r="B45" s="134"/>
      <c r="C45" s="24">
        <f>ROUND(1/3*C36,5)</f>
        <v>1.2999999999999999E-4</v>
      </c>
      <c r="D45" s="11">
        <f>ROUND($D$15*C45,2)</f>
        <v>0.23</v>
      </c>
    </row>
    <row r="46" spans="1:4" x14ac:dyDescent="0.3">
      <c r="A46" s="127" t="s">
        <v>35</v>
      </c>
      <c r="B46" s="128"/>
      <c r="C46" s="52">
        <f>ROUND(SUM(C41:C45),5)</f>
        <v>6.694E-2</v>
      </c>
      <c r="D46" s="51">
        <f>ROUND(SUM(D41:D45),2)</f>
        <v>119.46</v>
      </c>
    </row>
    <row r="47" spans="1:4" x14ac:dyDescent="0.3">
      <c r="A47" s="12"/>
      <c r="B47" s="12"/>
      <c r="C47" s="15"/>
      <c r="D47" s="14"/>
    </row>
    <row r="48" spans="1:4" x14ac:dyDescent="0.3">
      <c r="A48" s="130" t="s">
        <v>36</v>
      </c>
      <c r="B48" s="132"/>
      <c r="C48" s="55" t="s">
        <v>6</v>
      </c>
      <c r="D48" s="55" t="s">
        <v>7</v>
      </c>
    </row>
    <row r="49" spans="1:4" ht="14.55" customHeight="1" x14ac:dyDescent="0.3">
      <c r="A49" s="133" t="s">
        <v>37</v>
      </c>
      <c r="B49" s="134"/>
      <c r="C49" s="26">
        <f>ROUND(C27*C38,5)</f>
        <v>7.7039999999999997E-2</v>
      </c>
      <c r="D49" s="11">
        <f>ROUND($D$15*C49,2)</f>
        <v>137.49</v>
      </c>
    </row>
    <row r="50" spans="1:4" x14ac:dyDescent="0.3">
      <c r="A50" s="127" t="s">
        <v>38</v>
      </c>
      <c r="B50" s="128"/>
      <c r="C50" s="52">
        <f>ROUND(SUM(C49),5)</f>
        <v>7.7039999999999997E-2</v>
      </c>
      <c r="D50" s="51">
        <f>ROUND(SUM(D49),2)</f>
        <v>137.49</v>
      </c>
    </row>
    <row r="51" spans="1:4" x14ac:dyDescent="0.3">
      <c r="A51" s="12"/>
      <c r="B51" s="12"/>
      <c r="C51" s="15"/>
      <c r="D51" s="14"/>
    </row>
    <row r="52" spans="1:4" x14ac:dyDescent="0.3">
      <c r="A52" s="130" t="s">
        <v>39</v>
      </c>
      <c r="B52" s="132"/>
      <c r="C52" s="55" t="s">
        <v>6</v>
      </c>
      <c r="D52" s="55" t="s">
        <v>7</v>
      </c>
    </row>
    <row r="53" spans="1:4" ht="28.5" customHeight="1" x14ac:dyDescent="0.3">
      <c r="A53" s="133" t="s">
        <v>40</v>
      </c>
      <c r="B53" s="134"/>
      <c r="C53" s="27">
        <f>ROUND(8%*C41,5)</f>
        <v>3.3E-4</v>
      </c>
      <c r="D53" s="11">
        <f>ROUND($D$15*C53,2)</f>
        <v>0.59</v>
      </c>
    </row>
    <row r="54" spans="1:4" ht="38.549999999999997" customHeight="1" x14ac:dyDescent="0.3">
      <c r="A54" s="122" t="s">
        <v>41</v>
      </c>
      <c r="B54" s="123"/>
      <c r="C54" s="68">
        <f>ROUND(8%*C34,5)</f>
        <v>4.0000000000000003E-5</v>
      </c>
      <c r="D54" s="63">
        <f>ROUND($D$15*C54,2)</f>
        <v>7.0000000000000007E-2</v>
      </c>
    </row>
    <row r="55" spans="1:4" ht="30.75" customHeight="1" x14ac:dyDescent="0.3">
      <c r="A55" s="133" t="s">
        <v>42</v>
      </c>
      <c r="B55" s="134"/>
      <c r="C55" s="21">
        <f>ROUND(C20*C44,5)</f>
        <v>2.2200000000000002E-3</v>
      </c>
      <c r="D55" s="11">
        <f>ROUND($D$15*C55,2)</f>
        <v>3.96</v>
      </c>
    </row>
    <row r="56" spans="1:4" x14ac:dyDescent="0.3">
      <c r="A56" s="127" t="s">
        <v>43</v>
      </c>
      <c r="B56" s="128"/>
      <c r="C56" s="52">
        <f>ROUND(SUM(C53:C55),5)</f>
        <v>2.5899999999999999E-3</v>
      </c>
      <c r="D56" s="51">
        <f>ROUND(SUM(D53:D55),2)</f>
        <v>4.62</v>
      </c>
    </row>
    <row r="57" spans="1:4" x14ac:dyDescent="0.3">
      <c r="A57" s="12"/>
      <c r="B57" s="12"/>
      <c r="C57" s="15"/>
      <c r="D57" s="14"/>
    </row>
    <row r="58" spans="1:4" x14ac:dyDescent="0.3">
      <c r="A58" s="130" t="s">
        <v>44</v>
      </c>
      <c r="B58" s="132"/>
      <c r="C58" s="55" t="s">
        <v>6</v>
      </c>
      <c r="D58" s="55" t="s">
        <v>7</v>
      </c>
    </row>
    <row r="59" spans="1:4" ht="93" customHeight="1" x14ac:dyDescent="0.3">
      <c r="A59" s="133" t="s">
        <v>45</v>
      </c>
      <c r="B59" s="134"/>
      <c r="C59" s="26">
        <f>ROUND(C27*(4/12)*2/100,5)</f>
        <v>2.65E-3</v>
      </c>
      <c r="D59" s="11">
        <f>ROUND($D$15*C59,2)</f>
        <v>4.7300000000000004</v>
      </c>
    </row>
    <row r="60" spans="1:4" x14ac:dyDescent="0.3">
      <c r="A60" s="127" t="s">
        <v>46</v>
      </c>
      <c r="B60" s="128"/>
      <c r="C60" s="52">
        <f>ROUND(SUM(C59),5)</f>
        <v>2.65E-3</v>
      </c>
      <c r="D60" s="51">
        <f>ROUND(SUM(D59),2)</f>
        <v>4.7300000000000004</v>
      </c>
    </row>
    <row r="61" spans="1:4" x14ac:dyDescent="0.3">
      <c r="A61" s="127" t="s">
        <v>47</v>
      </c>
      <c r="B61" s="128"/>
      <c r="C61" s="52">
        <f>ROUND(C27+C38+C46+C50+C56+C60,5)</f>
        <v>0.74078999999999995</v>
      </c>
      <c r="D61" s="51">
        <f>ROUND(D27+D38+D46+D50+D56+D60,2)</f>
        <v>1322.09</v>
      </c>
    </row>
    <row r="62" spans="1:4" ht="15" customHeight="1" x14ac:dyDescent="0.3">
      <c r="A62" s="12"/>
      <c r="B62" s="12"/>
      <c r="C62" s="15"/>
      <c r="D62" s="14"/>
    </row>
    <row r="63" spans="1:4" ht="15" customHeight="1" x14ac:dyDescent="0.3">
      <c r="A63" s="127" t="s">
        <v>48</v>
      </c>
      <c r="B63" s="129"/>
      <c r="C63" s="128"/>
      <c r="D63" s="51">
        <f>ROUND(D15+D61,2)</f>
        <v>3106.81</v>
      </c>
    </row>
    <row r="64" spans="1:4" ht="15" customHeight="1" x14ac:dyDescent="0.3">
      <c r="A64" s="7"/>
      <c r="B64" s="7"/>
      <c r="C64" s="7"/>
      <c r="D64" s="7"/>
    </row>
    <row r="65" spans="1:4" ht="15" customHeight="1" x14ac:dyDescent="0.3">
      <c r="A65" s="109" t="s">
        <v>119</v>
      </c>
      <c r="B65" s="109"/>
      <c r="C65" s="109"/>
      <c r="D65" s="109"/>
    </row>
    <row r="66" spans="1:4" x14ac:dyDescent="0.3">
      <c r="A66" s="130" t="s">
        <v>49</v>
      </c>
      <c r="B66" s="131"/>
      <c r="C66" s="132"/>
      <c r="D66" s="56" t="s">
        <v>7</v>
      </c>
    </row>
    <row r="67" spans="1:4" ht="159.6" customHeight="1" x14ac:dyDescent="0.3">
      <c r="A67" s="119" t="s">
        <v>77</v>
      </c>
      <c r="B67" s="120"/>
      <c r="C67" s="121"/>
      <c r="D67" s="9">
        <f>ROUND(25.5*15,2)</f>
        <v>382.5</v>
      </c>
    </row>
    <row r="68" spans="1:4" ht="77.55" customHeight="1" x14ac:dyDescent="0.3">
      <c r="A68" s="116" t="s">
        <v>108</v>
      </c>
      <c r="B68" s="117"/>
      <c r="C68" s="118"/>
      <c r="D68" s="69">
        <f>ROUND(($D$67*10%)*-1,2)</f>
        <v>-38.25</v>
      </c>
    </row>
    <row r="69" spans="1:4" ht="53.55" customHeight="1" x14ac:dyDescent="0.3">
      <c r="A69" s="119" t="s">
        <v>51</v>
      </c>
      <c r="B69" s="120"/>
      <c r="C69" s="121"/>
      <c r="D69" s="11">
        <f>ROUND(3.8*2*15,2)</f>
        <v>114</v>
      </c>
    </row>
    <row r="70" spans="1:4" ht="90.6" customHeight="1" x14ac:dyDescent="0.3">
      <c r="A70" s="124" t="s">
        <v>52</v>
      </c>
      <c r="B70" s="125"/>
      <c r="C70" s="126"/>
      <c r="D70" s="69">
        <f>ROUND(($D$12*6%)*-1,2)</f>
        <v>-82.37</v>
      </c>
    </row>
    <row r="71" spans="1:4" ht="48.6" customHeight="1" x14ac:dyDescent="0.3">
      <c r="A71" s="140" t="s">
        <v>115</v>
      </c>
      <c r="B71" s="141"/>
      <c r="C71" s="142"/>
      <c r="D71" s="17">
        <v>109.23</v>
      </c>
    </row>
    <row r="72" spans="1:4" ht="76.05" customHeight="1" x14ac:dyDescent="0.3">
      <c r="A72" s="124" t="s">
        <v>116</v>
      </c>
      <c r="B72" s="125"/>
      <c r="C72" s="126"/>
      <c r="D72" s="69">
        <v>-1</v>
      </c>
    </row>
    <row r="73" spans="1:4" ht="15" customHeight="1" x14ac:dyDescent="0.3">
      <c r="A73" s="140" t="s">
        <v>50</v>
      </c>
      <c r="B73" s="141"/>
      <c r="C73" s="142"/>
      <c r="D73" s="17">
        <f>'Uniforme Vigilante'!F12</f>
        <v>139.02000000000001</v>
      </c>
    </row>
    <row r="74" spans="1:4" ht="15" customHeight="1" x14ac:dyDescent="0.3">
      <c r="A74" s="112" t="s">
        <v>155</v>
      </c>
      <c r="B74" s="113"/>
      <c r="C74" s="114"/>
      <c r="D74" s="70">
        <f>'Equipamento e Munição'!F24</f>
        <v>71</v>
      </c>
    </row>
    <row r="75" spans="1:4" ht="15" customHeight="1" x14ac:dyDescent="0.3">
      <c r="A75" s="108" t="s">
        <v>53</v>
      </c>
      <c r="B75" s="108"/>
      <c r="C75" s="108"/>
      <c r="D75" s="51">
        <f>ROUND(SUM(D67:D74),2)</f>
        <v>694.13</v>
      </c>
    </row>
    <row r="76" spans="1:4" x14ac:dyDescent="0.3">
      <c r="A76" s="12"/>
      <c r="B76" s="12"/>
      <c r="C76" s="12"/>
      <c r="D76" s="14"/>
    </row>
    <row r="77" spans="1:4" ht="30" customHeight="1" x14ac:dyDescent="0.3">
      <c r="A77" s="127" t="s">
        <v>54</v>
      </c>
      <c r="B77" s="129"/>
      <c r="C77" s="128"/>
      <c r="D77" s="51">
        <f>ROUND(D63+D75,2)</f>
        <v>3800.94</v>
      </c>
    </row>
    <row r="78" spans="1:4" ht="15" customHeight="1" x14ac:dyDescent="0.3">
      <c r="A78" s="31"/>
      <c r="B78" s="31"/>
      <c r="C78" s="31"/>
      <c r="D78" s="14"/>
    </row>
    <row r="79" spans="1:4" ht="15" customHeight="1" x14ac:dyDescent="0.3">
      <c r="A79" s="109" t="s">
        <v>120</v>
      </c>
      <c r="B79" s="109"/>
      <c r="C79" s="109"/>
      <c r="D79" s="109"/>
    </row>
    <row r="80" spans="1:4" ht="15" customHeight="1" x14ac:dyDescent="0.3">
      <c r="A80" s="109" t="s">
        <v>122</v>
      </c>
      <c r="B80" s="109"/>
      <c r="C80" s="109"/>
      <c r="D80" s="57" t="s">
        <v>7</v>
      </c>
    </row>
    <row r="81" spans="1:4" ht="50.1" customHeight="1" x14ac:dyDescent="0.3">
      <c r="A81" s="110" t="s">
        <v>122</v>
      </c>
      <c r="B81" s="110"/>
      <c r="C81" s="110"/>
      <c r="D81" s="32">
        <f>ROUND((D12+D13)/192*1.5*15,2)</f>
        <v>209.15</v>
      </c>
    </row>
    <row r="82" spans="1:4" ht="15" customHeight="1" x14ac:dyDescent="0.3">
      <c r="A82" s="108" t="s">
        <v>123</v>
      </c>
      <c r="B82" s="108"/>
      <c r="C82" s="108"/>
      <c r="D82" s="51">
        <f>ROUND(SUM(D81),2)</f>
        <v>209.15</v>
      </c>
    </row>
    <row r="83" spans="1:4" ht="15" customHeight="1" x14ac:dyDescent="0.3">
      <c r="A83" s="31"/>
      <c r="B83" s="31"/>
      <c r="C83" s="31"/>
      <c r="D83" s="14"/>
    </row>
    <row r="84" spans="1:4" ht="27" customHeight="1" x14ac:dyDescent="0.3">
      <c r="A84" s="127" t="s">
        <v>124</v>
      </c>
      <c r="B84" s="129"/>
      <c r="C84" s="128"/>
      <c r="D84" s="51">
        <f>ROUND(D77+D82,2)</f>
        <v>4010.09</v>
      </c>
    </row>
    <row r="85" spans="1:4" x14ac:dyDescent="0.3">
      <c r="A85" s="12"/>
      <c r="B85" s="12"/>
      <c r="C85" s="12"/>
      <c r="D85" s="14"/>
    </row>
    <row r="86" spans="1:4" x14ac:dyDescent="0.3">
      <c r="A86" s="109" t="s">
        <v>121</v>
      </c>
      <c r="B86" s="109"/>
      <c r="C86" s="109"/>
      <c r="D86" s="109"/>
    </row>
    <row r="87" spans="1:4" x14ac:dyDescent="0.3">
      <c r="A87" s="130" t="s">
        <v>55</v>
      </c>
      <c r="B87" s="132"/>
      <c r="C87" s="55" t="s">
        <v>6</v>
      </c>
      <c r="D87" s="55" t="s">
        <v>7</v>
      </c>
    </row>
    <row r="88" spans="1:4" s="1" customFormat="1" ht="30" customHeight="1" x14ac:dyDescent="0.3">
      <c r="A88" s="133" t="s">
        <v>56</v>
      </c>
      <c r="B88" s="134"/>
      <c r="C88" s="25">
        <v>0.05</v>
      </c>
      <c r="D88" s="16">
        <f>ROUND(D84*C88,2)</f>
        <v>200.5</v>
      </c>
    </row>
    <row r="89" spans="1:4" s="1" customFormat="1" ht="30" customHeight="1" x14ac:dyDescent="0.3">
      <c r="A89" s="122" t="s">
        <v>9</v>
      </c>
      <c r="B89" s="123"/>
      <c r="C89" s="71">
        <v>0.1</v>
      </c>
      <c r="D89" s="70">
        <f>ROUND(D84*C89,2)</f>
        <v>401.01</v>
      </c>
    </row>
    <row r="90" spans="1:4" x14ac:dyDescent="0.3">
      <c r="A90" s="127" t="s">
        <v>57</v>
      </c>
      <c r="B90" s="128"/>
      <c r="C90" s="53">
        <f>ROUND(SUM(C88:C89),5)</f>
        <v>0.15</v>
      </c>
      <c r="D90" s="51">
        <f>SUM(D88:D89)</f>
        <v>601.51</v>
      </c>
    </row>
    <row r="91" spans="1:4" x14ac:dyDescent="0.3">
      <c r="A91" s="12"/>
      <c r="B91" s="12"/>
      <c r="C91" s="13"/>
      <c r="D91" s="14"/>
    </row>
    <row r="92" spans="1:4" ht="30" customHeight="1" x14ac:dyDescent="0.3">
      <c r="A92" s="127" t="s">
        <v>126</v>
      </c>
      <c r="B92" s="129"/>
      <c r="C92" s="128"/>
      <c r="D92" s="51">
        <f>ROUND(D84+D90,2)</f>
        <v>4611.6000000000004</v>
      </c>
    </row>
    <row r="93" spans="1:4" x14ac:dyDescent="0.3">
      <c r="A93" s="12"/>
      <c r="B93" s="12"/>
      <c r="C93" s="12"/>
      <c r="D93" s="14"/>
    </row>
    <row r="94" spans="1:4" ht="35.25" customHeight="1" x14ac:dyDescent="0.3">
      <c r="A94" s="135" t="s">
        <v>78</v>
      </c>
      <c r="B94" s="135"/>
      <c r="C94" s="52">
        <f>ROUND(1-(SUM(C97:C99)/1),5)</f>
        <v>0.91349999999999998</v>
      </c>
      <c r="D94" s="51">
        <f>ROUND(D92/C94,2)</f>
        <v>5048.28</v>
      </c>
    </row>
    <row r="95" spans="1:4" x14ac:dyDescent="0.3">
      <c r="A95" s="7"/>
      <c r="B95" s="7"/>
      <c r="C95" s="7"/>
      <c r="D95" s="7"/>
    </row>
    <row r="96" spans="1:4" x14ac:dyDescent="0.3">
      <c r="A96" s="130" t="s">
        <v>58</v>
      </c>
      <c r="B96" s="132"/>
      <c r="C96" s="55" t="s">
        <v>6</v>
      </c>
      <c r="D96" s="55" t="s">
        <v>7</v>
      </c>
    </row>
    <row r="97" spans="1:4" ht="22.05" customHeight="1" x14ac:dyDescent="0.3">
      <c r="A97" s="133" t="s">
        <v>59</v>
      </c>
      <c r="B97" s="134"/>
      <c r="C97" s="25">
        <v>0.05</v>
      </c>
      <c r="D97" s="11">
        <f>ROUND($D$94*C97,2)</f>
        <v>252.41</v>
      </c>
    </row>
    <row r="98" spans="1:4" ht="22.05" customHeight="1" x14ac:dyDescent="0.3">
      <c r="A98" s="122" t="s">
        <v>60</v>
      </c>
      <c r="B98" s="123"/>
      <c r="C98" s="71">
        <v>0.03</v>
      </c>
      <c r="D98" s="63">
        <f>ROUND($D$94*C98,2)</f>
        <v>151.44999999999999</v>
      </c>
    </row>
    <row r="99" spans="1:4" ht="22.05" customHeight="1" x14ac:dyDescent="0.3">
      <c r="A99" s="133" t="s">
        <v>61</v>
      </c>
      <c r="B99" s="134"/>
      <c r="C99" s="25">
        <v>6.4999999999999997E-3</v>
      </c>
      <c r="D99" s="11">
        <f>ROUND($D$94*C99,2)</f>
        <v>32.81</v>
      </c>
    </row>
    <row r="100" spans="1:4" x14ac:dyDescent="0.3">
      <c r="A100" s="127" t="s">
        <v>62</v>
      </c>
      <c r="B100" s="128"/>
      <c r="C100" s="52">
        <f>ROUND(SUM(C97:C99),5)</f>
        <v>8.6499999999999994E-2</v>
      </c>
      <c r="D100" s="51">
        <f>ROUND(SUM(D97:D99),2)</f>
        <v>436.67</v>
      </c>
    </row>
    <row r="101" spans="1:4" x14ac:dyDescent="0.3">
      <c r="A101" s="7"/>
      <c r="B101" s="7"/>
      <c r="C101" s="7"/>
      <c r="D101" s="7"/>
    </row>
    <row r="102" spans="1:4" ht="25.05" customHeight="1" x14ac:dyDescent="0.3">
      <c r="A102" s="147" t="s">
        <v>63</v>
      </c>
      <c r="B102" s="148"/>
      <c r="C102" s="149"/>
      <c r="D102" s="54">
        <f>ROUND(D92+D100,2)</f>
        <v>5048.2700000000004</v>
      </c>
    </row>
    <row r="103" spans="1:4" ht="25.05" customHeight="1" x14ac:dyDescent="0.3">
      <c r="A103" s="147" t="s">
        <v>127</v>
      </c>
      <c r="B103" s="148"/>
      <c r="C103" s="149"/>
      <c r="D103" s="54">
        <f>ROUND(D102*2,2)</f>
        <v>10096.540000000001</v>
      </c>
    </row>
    <row r="104" spans="1:4" ht="25.05" customHeight="1" x14ac:dyDescent="0.3">
      <c r="A104" s="147" t="s">
        <v>86</v>
      </c>
      <c r="B104" s="148"/>
      <c r="C104" s="149"/>
      <c r="D104" s="54">
        <f>ROUND(D103*12,2)</f>
        <v>121158.48</v>
      </c>
    </row>
    <row r="105" spans="1:4" ht="25.05" customHeight="1" x14ac:dyDescent="0.3">
      <c r="A105" s="31"/>
      <c r="B105" s="31"/>
      <c r="C105" s="31"/>
      <c r="D105" s="14"/>
    </row>
    <row r="106" spans="1:4" ht="15" customHeight="1" x14ac:dyDescent="0.3">
      <c r="A106" s="150" t="s">
        <v>64</v>
      </c>
      <c r="B106" s="150"/>
      <c r="C106" s="150"/>
      <c r="D106" s="57" t="s">
        <v>6</v>
      </c>
    </row>
    <row r="107" spans="1:4" ht="15" customHeight="1" x14ac:dyDescent="0.3">
      <c r="A107" s="145" t="s">
        <v>128</v>
      </c>
      <c r="B107" s="145"/>
      <c r="C107" s="145"/>
      <c r="D107" s="72">
        <f>C27</f>
        <v>0.39800000000000002</v>
      </c>
    </row>
    <row r="108" spans="1:4" ht="15" customHeight="1" x14ac:dyDescent="0.3">
      <c r="A108" s="115" t="s">
        <v>30</v>
      </c>
      <c r="B108" s="115"/>
      <c r="C108" s="115"/>
      <c r="D108" s="73">
        <f>C38</f>
        <v>0.19356999999999999</v>
      </c>
    </row>
    <row r="109" spans="1:4" ht="15" customHeight="1" x14ac:dyDescent="0.3">
      <c r="A109" s="145" t="s">
        <v>35</v>
      </c>
      <c r="B109" s="145"/>
      <c r="C109" s="145"/>
      <c r="D109" s="72">
        <f>C46</f>
        <v>6.694E-2</v>
      </c>
    </row>
    <row r="110" spans="1:4" ht="15" customHeight="1" x14ac:dyDescent="0.3">
      <c r="A110" s="115" t="s">
        <v>38</v>
      </c>
      <c r="B110" s="115"/>
      <c r="C110" s="115"/>
      <c r="D110" s="73">
        <f>C50</f>
        <v>7.7039999999999997E-2</v>
      </c>
    </row>
    <row r="111" spans="1:4" ht="15" customHeight="1" x14ac:dyDescent="0.3">
      <c r="A111" s="145" t="s">
        <v>43</v>
      </c>
      <c r="B111" s="145"/>
      <c r="C111" s="145"/>
      <c r="D111" s="72">
        <f>C56</f>
        <v>2.5899999999999999E-3</v>
      </c>
    </row>
    <row r="112" spans="1:4" ht="15" customHeight="1" x14ac:dyDescent="0.3">
      <c r="A112" s="115" t="s">
        <v>46</v>
      </c>
      <c r="B112" s="115"/>
      <c r="C112" s="115"/>
      <c r="D112" s="73">
        <f>C60</f>
        <v>2.65E-3</v>
      </c>
    </row>
    <row r="113" spans="1:4" ht="15" customHeight="1" x14ac:dyDescent="0.3">
      <c r="A113" s="146" t="s">
        <v>129</v>
      </c>
      <c r="B113" s="146"/>
      <c r="C113" s="146"/>
      <c r="D113" s="60">
        <f>ROUND(SUM(D107:D112),5)</f>
        <v>0.74078999999999995</v>
      </c>
    </row>
  </sheetData>
  <mergeCells count="94">
    <mergeCell ref="A110:C110"/>
    <mergeCell ref="A111:C111"/>
    <mergeCell ref="A112:C112"/>
    <mergeCell ref="A113:C113"/>
    <mergeCell ref="A84:C84"/>
    <mergeCell ref="A103:C103"/>
    <mergeCell ref="A106:C106"/>
    <mergeCell ref="A107:C107"/>
    <mergeCell ref="A108:C108"/>
    <mergeCell ref="A109:C109"/>
    <mergeCell ref="A100:B100"/>
    <mergeCell ref="A102:C102"/>
    <mergeCell ref="A104:C104"/>
    <mergeCell ref="A96:B96"/>
    <mergeCell ref="A97:B97"/>
    <mergeCell ref="A98:B98"/>
    <mergeCell ref="A99:B99"/>
    <mergeCell ref="A89:B89"/>
    <mergeCell ref="A90:B90"/>
    <mergeCell ref="A71:C71"/>
    <mergeCell ref="A72:C72"/>
    <mergeCell ref="A73:C73"/>
    <mergeCell ref="A1:D1"/>
    <mergeCell ref="B2:D2"/>
    <mergeCell ref="B3:D3"/>
    <mergeCell ref="A20:B20"/>
    <mergeCell ref="A21:B21"/>
    <mergeCell ref="A9:D9"/>
    <mergeCell ref="A10:D10"/>
    <mergeCell ref="A11:B11"/>
    <mergeCell ref="A19:B19"/>
    <mergeCell ref="A12:B12"/>
    <mergeCell ref="A14:B14"/>
    <mergeCell ref="A15:C15"/>
    <mergeCell ref="A17:D17"/>
    <mergeCell ref="A18:B18"/>
    <mergeCell ref="B4:D4"/>
    <mergeCell ref="A29:B29"/>
    <mergeCell ref="A22:B22"/>
    <mergeCell ref="A23:B23"/>
    <mergeCell ref="A24:B24"/>
    <mergeCell ref="A13:B13"/>
    <mergeCell ref="B5:D5"/>
    <mergeCell ref="B6:D6"/>
    <mergeCell ref="A25:B25"/>
    <mergeCell ref="A26:B26"/>
    <mergeCell ref="A27:B27"/>
    <mergeCell ref="A30:B30"/>
    <mergeCell ref="A31:B31"/>
    <mergeCell ref="A32:B32"/>
    <mergeCell ref="A33:B33"/>
    <mergeCell ref="A37:B37"/>
    <mergeCell ref="A38:B38"/>
    <mergeCell ref="A40:B40"/>
    <mergeCell ref="A34:B34"/>
    <mergeCell ref="A35:B35"/>
    <mergeCell ref="A36:B36"/>
    <mergeCell ref="A45:B45"/>
    <mergeCell ref="A46:B46"/>
    <mergeCell ref="A48:B48"/>
    <mergeCell ref="A41:B41"/>
    <mergeCell ref="A42:B42"/>
    <mergeCell ref="A43:B43"/>
    <mergeCell ref="A44:B44"/>
    <mergeCell ref="A54:B54"/>
    <mergeCell ref="A55:B55"/>
    <mergeCell ref="A49:B49"/>
    <mergeCell ref="A50:B50"/>
    <mergeCell ref="A52:B52"/>
    <mergeCell ref="A67:C67"/>
    <mergeCell ref="A56:B56"/>
    <mergeCell ref="A58:B58"/>
    <mergeCell ref="A59:B59"/>
    <mergeCell ref="A60:B60"/>
    <mergeCell ref="A53:B53"/>
    <mergeCell ref="A92:C92"/>
    <mergeCell ref="A94:B94"/>
    <mergeCell ref="A77:C77"/>
    <mergeCell ref="A86:D86"/>
    <mergeCell ref="A87:B87"/>
    <mergeCell ref="A79:D79"/>
    <mergeCell ref="A80:C80"/>
    <mergeCell ref="A81:C81"/>
    <mergeCell ref="A82:C82"/>
    <mergeCell ref="A75:C75"/>
    <mergeCell ref="A74:C74"/>
    <mergeCell ref="A68:C68"/>
    <mergeCell ref="A69:C69"/>
    <mergeCell ref="A70:C70"/>
    <mergeCell ref="A61:B61"/>
    <mergeCell ref="A63:C63"/>
    <mergeCell ref="A65:D65"/>
    <mergeCell ref="A66:C66"/>
    <mergeCell ref="A88:B88"/>
  </mergeCells>
  <printOptions horizontalCentered="1" verticalCentered="1"/>
  <pageMargins left="0.51181102362204722" right="0.51181102362204722" top="0.98425196850393704" bottom="0.98425196850393704" header="0.31496062992125984" footer="0.31496062992125984"/>
  <pageSetup paperSize="9" fitToHeight="0" orientation="landscape" r:id="rId1"/>
  <headerFooter>
    <oddFooter>&amp;C&amp;"Arial,Normal"&amp;8Página &amp;P de &amp;N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B3C31-2B28-4C9A-9EB3-EA7CF302EC72}">
  <sheetPr>
    <pageSetUpPr fitToPage="1"/>
  </sheetPr>
  <dimension ref="A1:D115"/>
  <sheetViews>
    <sheetView view="pageBreakPreview" topLeftCell="A34" zoomScaleNormal="100" zoomScaleSheetLayoutView="100" workbookViewId="0">
      <selection activeCell="G11" sqref="G11"/>
    </sheetView>
  </sheetViews>
  <sheetFormatPr defaultRowHeight="14.4" x14ac:dyDescent="0.3"/>
  <cols>
    <col min="1" max="1" width="33.44140625" customWidth="1"/>
    <col min="2" max="2" width="14.5546875" customWidth="1"/>
    <col min="3" max="3" width="10.77734375" customWidth="1"/>
    <col min="4" max="4" width="12.21875" customWidth="1"/>
  </cols>
  <sheetData>
    <row r="1" spans="1:4" ht="27.6" customHeight="1" x14ac:dyDescent="0.3">
      <c r="A1" s="143" t="s">
        <v>0</v>
      </c>
      <c r="B1" s="143"/>
      <c r="C1" s="143"/>
      <c r="D1" s="143"/>
    </row>
    <row r="2" spans="1:4" x14ac:dyDescent="0.3">
      <c r="A2" s="58" t="s">
        <v>2</v>
      </c>
      <c r="B2" s="111" t="s">
        <v>130</v>
      </c>
      <c r="C2" s="111"/>
      <c r="D2" s="111"/>
    </row>
    <row r="3" spans="1:4" ht="15" customHeight="1" x14ac:dyDescent="0.3">
      <c r="A3" s="58" t="s">
        <v>75</v>
      </c>
      <c r="B3" s="136" t="s">
        <v>112</v>
      </c>
      <c r="C3" s="136"/>
      <c r="D3" s="136"/>
    </row>
    <row r="4" spans="1:4" ht="15" customHeight="1" x14ac:dyDescent="0.3">
      <c r="A4" s="59" t="s">
        <v>1</v>
      </c>
      <c r="B4" s="111" t="s">
        <v>113</v>
      </c>
      <c r="C4" s="111"/>
      <c r="D4" s="111"/>
    </row>
    <row r="5" spans="1:4" ht="26.4" x14ac:dyDescent="0.3">
      <c r="A5" s="59" t="s">
        <v>3</v>
      </c>
      <c r="B5" s="136">
        <v>1</v>
      </c>
      <c r="C5" s="136"/>
      <c r="D5" s="136"/>
    </row>
    <row r="6" spans="1:4" ht="76.5" customHeight="1" x14ac:dyDescent="0.3">
      <c r="A6" s="59" t="s">
        <v>76</v>
      </c>
      <c r="B6" s="111" t="s">
        <v>114</v>
      </c>
      <c r="C6" s="111"/>
      <c r="D6" s="111"/>
    </row>
    <row r="7" spans="1:4" ht="21" customHeight="1" x14ac:dyDescent="0.3">
      <c r="A7" s="5"/>
      <c r="B7" s="30"/>
      <c r="C7" s="7"/>
      <c r="D7" s="7"/>
    </row>
    <row r="8" spans="1:4" x14ac:dyDescent="0.3">
      <c r="A8" s="8"/>
      <c r="B8" s="8"/>
      <c r="C8" s="8"/>
      <c r="D8" s="8"/>
    </row>
    <row r="9" spans="1:4" x14ac:dyDescent="0.3">
      <c r="A9" s="144" t="s">
        <v>4</v>
      </c>
      <c r="B9" s="144"/>
      <c r="C9" s="144"/>
      <c r="D9" s="144"/>
    </row>
    <row r="10" spans="1:4" x14ac:dyDescent="0.3">
      <c r="A10" s="137" t="s">
        <v>117</v>
      </c>
      <c r="B10" s="138"/>
      <c r="C10" s="138"/>
      <c r="D10" s="139"/>
    </row>
    <row r="11" spans="1:4" x14ac:dyDescent="0.3">
      <c r="A11" s="130" t="s">
        <v>5</v>
      </c>
      <c r="B11" s="132"/>
      <c r="C11" s="55" t="s">
        <v>6</v>
      </c>
      <c r="D11" s="55" t="s">
        <v>7</v>
      </c>
    </row>
    <row r="12" spans="1:4" ht="40.5" customHeight="1" x14ac:dyDescent="0.3">
      <c r="A12" s="133" t="s">
        <v>8</v>
      </c>
      <c r="B12" s="134"/>
      <c r="C12" s="29" t="s">
        <v>65</v>
      </c>
      <c r="D12" s="9">
        <v>1305</v>
      </c>
    </row>
    <row r="13" spans="1:4" ht="40.5" customHeight="1" x14ac:dyDescent="0.3">
      <c r="A13" s="112" t="s">
        <v>125</v>
      </c>
      <c r="B13" s="114"/>
      <c r="C13" s="62">
        <v>0.3</v>
      </c>
      <c r="D13" s="63">
        <f>ROUND(C13*D12,2)</f>
        <v>391.5</v>
      </c>
    </row>
    <row r="14" spans="1:4" ht="117.6" customHeight="1" x14ac:dyDescent="0.3">
      <c r="A14" s="119" t="s">
        <v>131</v>
      </c>
      <c r="B14" s="121"/>
      <c r="C14" s="26">
        <v>0.3</v>
      </c>
      <c r="D14" s="11">
        <f>ROUND((8*(7*4.286)*(((D12+D13)/192)*20%))/2,2)</f>
        <v>212.08</v>
      </c>
    </row>
    <row r="15" spans="1:4" ht="65.55" customHeight="1" x14ac:dyDescent="0.3">
      <c r="A15" s="112" t="s">
        <v>132</v>
      </c>
      <c r="B15" s="114"/>
      <c r="C15" s="62">
        <v>0.3</v>
      </c>
      <c r="D15" s="63">
        <f>ROUND(((D12+D13+D14)/192*1.5*15),2)</f>
        <v>223.66</v>
      </c>
    </row>
    <row r="16" spans="1:4" ht="15" customHeight="1" x14ac:dyDescent="0.3">
      <c r="A16" s="119" t="s">
        <v>91</v>
      </c>
      <c r="B16" s="121"/>
      <c r="C16" s="10"/>
      <c r="D16" s="11">
        <f>C16*D12/100</f>
        <v>0</v>
      </c>
    </row>
    <row r="17" spans="1:4" x14ac:dyDescent="0.3">
      <c r="A17" s="108" t="s">
        <v>20</v>
      </c>
      <c r="B17" s="108"/>
      <c r="C17" s="108"/>
      <c r="D17" s="51">
        <f>ROUND(SUM(D12:D16),2)</f>
        <v>2132.2399999999998</v>
      </c>
    </row>
    <row r="18" spans="1:4" x14ac:dyDescent="0.3">
      <c r="A18" s="7"/>
      <c r="B18" s="7"/>
      <c r="C18" s="7"/>
      <c r="D18" s="7"/>
    </row>
    <row r="19" spans="1:4" x14ac:dyDescent="0.3">
      <c r="A19" s="109" t="s">
        <v>118</v>
      </c>
      <c r="B19" s="109"/>
      <c r="C19" s="109"/>
      <c r="D19" s="109"/>
    </row>
    <row r="20" spans="1:4" x14ac:dyDescent="0.3">
      <c r="A20" s="109" t="s">
        <v>10</v>
      </c>
      <c r="B20" s="109"/>
      <c r="C20" s="55" t="s">
        <v>6</v>
      </c>
      <c r="D20" s="55" t="s">
        <v>7</v>
      </c>
    </row>
    <row r="21" spans="1:4" x14ac:dyDescent="0.3">
      <c r="A21" s="133" t="s">
        <v>11</v>
      </c>
      <c r="B21" s="134"/>
      <c r="C21" s="20">
        <v>0.2</v>
      </c>
      <c r="D21" s="11">
        <f>ROUND($D$17*C21,2)</f>
        <v>426.45</v>
      </c>
    </row>
    <row r="22" spans="1:4" x14ac:dyDescent="0.3">
      <c r="A22" s="122" t="s">
        <v>12</v>
      </c>
      <c r="B22" s="123"/>
      <c r="C22" s="64">
        <v>0.08</v>
      </c>
      <c r="D22" s="63">
        <f t="shared" ref="D22:D28" si="0">ROUND($D$17*C22,2)</f>
        <v>170.58</v>
      </c>
    </row>
    <row r="23" spans="1:4" x14ac:dyDescent="0.3">
      <c r="A23" s="133" t="s">
        <v>13</v>
      </c>
      <c r="B23" s="134"/>
      <c r="C23" s="20">
        <v>1.4999999999999999E-2</v>
      </c>
      <c r="D23" s="11">
        <f t="shared" si="0"/>
        <v>31.98</v>
      </c>
    </row>
    <row r="24" spans="1:4" ht="25.5" customHeight="1" x14ac:dyDescent="0.3">
      <c r="A24" s="122" t="s">
        <v>14</v>
      </c>
      <c r="B24" s="123"/>
      <c r="C24" s="64">
        <v>0.01</v>
      </c>
      <c r="D24" s="63">
        <f t="shared" si="0"/>
        <v>21.32</v>
      </c>
    </row>
    <row r="25" spans="1:4" ht="28.5" customHeight="1" x14ac:dyDescent="0.3">
      <c r="A25" s="133" t="s">
        <v>15</v>
      </c>
      <c r="B25" s="134"/>
      <c r="C25" s="20">
        <v>2E-3</v>
      </c>
      <c r="D25" s="11">
        <f t="shared" si="0"/>
        <v>4.26</v>
      </c>
    </row>
    <row r="26" spans="1:4" x14ac:dyDescent="0.3">
      <c r="A26" s="122" t="s">
        <v>16</v>
      </c>
      <c r="B26" s="123"/>
      <c r="C26" s="64">
        <v>6.0000000000000001E-3</v>
      </c>
      <c r="D26" s="63">
        <f t="shared" si="0"/>
        <v>12.79</v>
      </c>
    </row>
    <row r="27" spans="1:4" x14ac:dyDescent="0.3">
      <c r="A27" s="119" t="s">
        <v>17</v>
      </c>
      <c r="B27" s="121"/>
      <c r="C27" s="20">
        <v>2.5000000000000001E-2</v>
      </c>
      <c r="D27" s="11">
        <f t="shared" si="0"/>
        <v>53.31</v>
      </c>
    </row>
    <row r="28" spans="1:4" ht="39.75" customHeight="1" x14ac:dyDescent="0.3">
      <c r="A28" s="112" t="s">
        <v>18</v>
      </c>
      <c r="B28" s="114"/>
      <c r="C28" s="65">
        <v>0.06</v>
      </c>
      <c r="D28" s="63">
        <f t="shared" si="0"/>
        <v>127.93</v>
      </c>
    </row>
    <row r="29" spans="1:4" x14ac:dyDescent="0.3">
      <c r="A29" s="127" t="s">
        <v>19</v>
      </c>
      <c r="B29" s="128"/>
      <c r="C29" s="52">
        <f>ROUND(SUM(C21:C28),5)</f>
        <v>0.39800000000000002</v>
      </c>
      <c r="D29" s="51">
        <f>ROUND(SUM(D21:D28),2)</f>
        <v>848.62</v>
      </c>
    </row>
    <row r="30" spans="1:4" x14ac:dyDescent="0.3">
      <c r="A30" s="31"/>
      <c r="B30" s="31"/>
      <c r="C30" s="13"/>
      <c r="D30" s="14"/>
    </row>
    <row r="31" spans="1:4" x14ac:dyDescent="0.3">
      <c r="A31" s="109" t="s">
        <v>21</v>
      </c>
      <c r="B31" s="109"/>
      <c r="C31" s="55" t="s">
        <v>6</v>
      </c>
      <c r="D31" s="55" t="s">
        <v>7</v>
      </c>
    </row>
    <row r="32" spans="1:4" ht="35.1" customHeight="1" x14ac:dyDescent="0.3">
      <c r="A32" s="119" t="s">
        <v>22</v>
      </c>
      <c r="B32" s="121"/>
      <c r="C32" s="18">
        <f>ROUND(1/12,5)</f>
        <v>8.3330000000000001E-2</v>
      </c>
      <c r="D32" s="11">
        <f>ROUND($D$17*C32,2)</f>
        <v>177.68</v>
      </c>
    </row>
    <row r="33" spans="1:4" ht="35.1" customHeight="1" x14ac:dyDescent="0.3">
      <c r="A33" s="122" t="s">
        <v>23</v>
      </c>
      <c r="B33" s="123"/>
      <c r="C33" s="66">
        <f>ROUND((1/12),5)</f>
        <v>8.3330000000000001E-2</v>
      </c>
      <c r="D33" s="63">
        <f t="shared" ref="D33:D39" si="1">ROUND($D$17*C33,2)</f>
        <v>177.68</v>
      </c>
    </row>
    <row r="34" spans="1:4" ht="35.1" customHeight="1" x14ac:dyDescent="0.3">
      <c r="A34" s="133" t="s">
        <v>24</v>
      </c>
      <c r="B34" s="134"/>
      <c r="C34" s="19">
        <f>ROUND((((100% / 30) * 7) / 12),5)</f>
        <v>1.9439999999999999E-2</v>
      </c>
      <c r="D34" s="11">
        <f t="shared" si="1"/>
        <v>41.45</v>
      </c>
    </row>
    <row r="35" spans="1:4" ht="39.6" customHeight="1" x14ac:dyDescent="0.3">
      <c r="A35" s="122" t="s">
        <v>25</v>
      </c>
      <c r="B35" s="123"/>
      <c r="C35" s="66">
        <f>ROUND((1462463/54796761)/12,5)</f>
        <v>2.2200000000000002E-3</v>
      </c>
      <c r="D35" s="63">
        <f t="shared" si="1"/>
        <v>4.7300000000000004</v>
      </c>
    </row>
    <row r="36" spans="1:4" ht="35.1" customHeight="1" x14ac:dyDescent="0.3">
      <c r="A36" s="133" t="s">
        <v>26</v>
      </c>
      <c r="B36" s="134"/>
      <c r="C36" s="19">
        <f>ROUND((((100% /30) * 15) / 12) * 1.22%,5)</f>
        <v>5.1000000000000004E-4</v>
      </c>
      <c r="D36" s="11">
        <f t="shared" si="1"/>
        <v>1.0900000000000001</v>
      </c>
    </row>
    <row r="37" spans="1:4" ht="35.1" customHeight="1" x14ac:dyDescent="0.3">
      <c r="A37" s="122" t="s">
        <v>27</v>
      </c>
      <c r="B37" s="123"/>
      <c r="C37" s="66">
        <f>ROUND(((100%/30)*1.4947)/12,5)</f>
        <v>4.15E-3</v>
      </c>
      <c r="D37" s="63">
        <f t="shared" si="1"/>
        <v>8.85</v>
      </c>
    </row>
    <row r="38" spans="1:4" ht="35.1" customHeight="1" x14ac:dyDescent="0.3">
      <c r="A38" s="133" t="s">
        <v>28</v>
      </c>
      <c r="B38" s="134"/>
      <c r="C38" s="19">
        <f>ROUND((8.333%*1.416%*4/12),5)</f>
        <v>3.8999999999999999E-4</v>
      </c>
      <c r="D38" s="11">
        <f t="shared" si="1"/>
        <v>0.83</v>
      </c>
    </row>
    <row r="39" spans="1:4" ht="35.1" customHeight="1" x14ac:dyDescent="0.3">
      <c r="A39" s="122" t="s">
        <v>29</v>
      </c>
      <c r="B39" s="123"/>
      <c r="C39" s="66">
        <f>ROUND((((100%/30)*5)/12)*1.416%,5)</f>
        <v>2.0000000000000001E-4</v>
      </c>
      <c r="D39" s="63">
        <f t="shared" si="1"/>
        <v>0.43</v>
      </c>
    </row>
    <row r="40" spans="1:4" x14ac:dyDescent="0.3">
      <c r="A40" s="127" t="s">
        <v>30</v>
      </c>
      <c r="B40" s="128"/>
      <c r="C40" s="52">
        <f>ROUND(SUM(C32:C39),5)</f>
        <v>0.19356999999999999</v>
      </c>
      <c r="D40" s="51">
        <f>ROUND(SUM(D32:D39),2)</f>
        <v>412.74</v>
      </c>
    </row>
    <row r="41" spans="1:4" x14ac:dyDescent="0.3">
      <c r="A41" s="31"/>
      <c r="B41" s="31"/>
      <c r="C41" s="15"/>
      <c r="D41" s="14"/>
    </row>
    <row r="42" spans="1:4" x14ac:dyDescent="0.3">
      <c r="A42" s="130" t="s">
        <v>31</v>
      </c>
      <c r="B42" s="132"/>
      <c r="C42" s="55" t="s">
        <v>6</v>
      </c>
      <c r="D42" s="55" t="s">
        <v>7</v>
      </c>
    </row>
    <row r="43" spans="1:4" ht="23.1" customHeight="1" x14ac:dyDescent="0.3">
      <c r="A43" s="133" t="s">
        <v>32</v>
      </c>
      <c r="B43" s="134"/>
      <c r="C43" s="22">
        <f>ROUND(1/12*5%,5)</f>
        <v>4.1700000000000001E-3</v>
      </c>
      <c r="D43" s="11">
        <f>ROUND($D$17*C43,2)</f>
        <v>8.89</v>
      </c>
    </row>
    <row r="44" spans="1:4" ht="23.1" customHeight="1" x14ac:dyDescent="0.3">
      <c r="A44" s="122" t="s">
        <v>33</v>
      </c>
      <c r="B44" s="123"/>
      <c r="C44" s="65">
        <f>ROUND(1/12*3.4275%,5)</f>
        <v>2.8600000000000001E-3</v>
      </c>
      <c r="D44" s="63">
        <f>ROUND($D$17*C44,2)</f>
        <v>6.1</v>
      </c>
    </row>
    <row r="45" spans="1:4" ht="23.1" customHeight="1" x14ac:dyDescent="0.3">
      <c r="A45" s="133" t="s">
        <v>34</v>
      </c>
      <c r="B45" s="134"/>
      <c r="C45" s="23">
        <f>ROUND(40%*8%,5)</f>
        <v>3.2000000000000001E-2</v>
      </c>
      <c r="D45" s="11">
        <f>ROUND($D$17*C45,2)</f>
        <v>68.23</v>
      </c>
    </row>
    <row r="46" spans="1:4" ht="23.1" customHeight="1" x14ac:dyDescent="0.3">
      <c r="A46" s="122" t="s">
        <v>92</v>
      </c>
      <c r="B46" s="123"/>
      <c r="C46" s="67">
        <f>ROUND(1/3*1/12,5)</f>
        <v>2.7779999999999999E-2</v>
      </c>
      <c r="D46" s="63">
        <f>ROUND($D$17*C46,2)</f>
        <v>59.23</v>
      </c>
    </row>
    <row r="47" spans="1:4" ht="23.1" customHeight="1" x14ac:dyDescent="0.3">
      <c r="A47" s="133" t="s">
        <v>93</v>
      </c>
      <c r="B47" s="134"/>
      <c r="C47" s="24">
        <f>ROUND(1/3*C38,5)</f>
        <v>1.2999999999999999E-4</v>
      </c>
      <c r="D47" s="11">
        <f>ROUND($D$17*C47,2)</f>
        <v>0.28000000000000003</v>
      </c>
    </row>
    <row r="48" spans="1:4" x14ac:dyDescent="0.3">
      <c r="A48" s="127" t="s">
        <v>35</v>
      </c>
      <c r="B48" s="128"/>
      <c r="C48" s="52">
        <f>ROUND(SUM(C43:C47),5)</f>
        <v>6.694E-2</v>
      </c>
      <c r="D48" s="51">
        <f>ROUND(SUM(D43:D47),2)</f>
        <v>142.72999999999999</v>
      </c>
    </row>
    <row r="49" spans="1:4" x14ac:dyDescent="0.3">
      <c r="A49" s="31"/>
      <c r="B49" s="31"/>
      <c r="C49" s="15"/>
      <c r="D49" s="14"/>
    </row>
    <row r="50" spans="1:4" x14ac:dyDescent="0.3">
      <c r="A50" s="130" t="s">
        <v>36</v>
      </c>
      <c r="B50" s="132"/>
      <c r="C50" s="55" t="s">
        <v>6</v>
      </c>
      <c r="D50" s="55" t="s">
        <v>7</v>
      </c>
    </row>
    <row r="51" spans="1:4" ht="14.55" customHeight="1" x14ac:dyDescent="0.3">
      <c r="A51" s="133" t="s">
        <v>37</v>
      </c>
      <c r="B51" s="134"/>
      <c r="C51" s="26">
        <f>ROUND(C29*C40,5)</f>
        <v>7.7039999999999997E-2</v>
      </c>
      <c r="D51" s="11">
        <f>ROUND($D$17*C51,2)</f>
        <v>164.27</v>
      </c>
    </row>
    <row r="52" spans="1:4" x14ac:dyDescent="0.3">
      <c r="A52" s="127" t="s">
        <v>38</v>
      </c>
      <c r="B52" s="128"/>
      <c r="C52" s="52">
        <f>ROUND(SUM(C51),5)</f>
        <v>7.7039999999999997E-2</v>
      </c>
      <c r="D52" s="51">
        <f>ROUND(SUM(D51),2)</f>
        <v>164.27</v>
      </c>
    </row>
    <row r="53" spans="1:4" x14ac:dyDescent="0.3">
      <c r="A53" s="31"/>
      <c r="B53" s="31"/>
      <c r="C53" s="15"/>
      <c r="D53" s="14"/>
    </row>
    <row r="54" spans="1:4" x14ac:dyDescent="0.3">
      <c r="A54" s="130" t="s">
        <v>39</v>
      </c>
      <c r="B54" s="132"/>
      <c r="C54" s="55" t="s">
        <v>6</v>
      </c>
      <c r="D54" s="55" t="s">
        <v>7</v>
      </c>
    </row>
    <row r="55" spans="1:4" ht="28.5" customHeight="1" x14ac:dyDescent="0.3">
      <c r="A55" s="133" t="s">
        <v>40</v>
      </c>
      <c r="B55" s="134"/>
      <c r="C55" s="27">
        <f>ROUND(8%*C43,5)</f>
        <v>3.3E-4</v>
      </c>
      <c r="D55" s="11">
        <f>ROUND($D$17*C55,2)</f>
        <v>0.7</v>
      </c>
    </row>
    <row r="56" spans="1:4" ht="38.549999999999997" customHeight="1" x14ac:dyDescent="0.3">
      <c r="A56" s="122" t="s">
        <v>41</v>
      </c>
      <c r="B56" s="123"/>
      <c r="C56" s="68">
        <f>ROUND(8%*C36,5)</f>
        <v>4.0000000000000003E-5</v>
      </c>
      <c r="D56" s="63">
        <f>ROUND($D$17*C56,2)</f>
        <v>0.09</v>
      </c>
    </row>
    <row r="57" spans="1:4" ht="30.75" customHeight="1" x14ac:dyDescent="0.3">
      <c r="A57" s="133" t="s">
        <v>42</v>
      </c>
      <c r="B57" s="134"/>
      <c r="C57" s="21">
        <f>ROUND(C22*C46,5)</f>
        <v>2.2200000000000002E-3</v>
      </c>
      <c r="D57" s="11">
        <f>ROUND($D$17*C57,2)</f>
        <v>4.7300000000000004</v>
      </c>
    </row>
    <row r="58" spans="1:4" x14ac:dyDescent="0.3">
      <c r="A58" s="127" t="s">
        <v>43</v>
      </c>
      <c r="B58" s="128"/>
      <c r="C58" s="52">
        <f>ROUND(SUM(C55:C57),5)</f>
        <v>2.5899999999999999E-3</v>
      </c>
      <c r="D58" s="51">
        <f>ROUND(SUM(D55:D57),2)</f>
        <v>5.52</v>
      </c>
    </row>
    <row r="59" spans="1:4" x14ac:dyDescent="0.3">
      <c r="A59" s="31"/>
      <c r="B59" s="31"/>
      <c r="C59" s="15"/>
      <c r="D59" s="14"/>
    </row>
    <row r="60" spans="1:4" x14ac:dyDescent="0.3">
      <c r="A60" s="130" t="s">
        <v>44</v>
      </c>
      <c r="B60" s="132"/>
      <c r="C60" s="55" t="s">
        <v>6</v>
      </c>
      <c r="D60" s="55" t="s">
        <v>7</v>
      </c>
    </row>
    <row r="61" spans="1:4" ht="93" customHeight="1" x14ac:dyDescent="0.3">
      <c r="A61" s="133" t="s">
        <v>45</v>
      </c>
      <c r="B61" s="134"/>
      <c r="C61" s="26">
        <f>ROUND(C29*(4/12)*2/100,5)</f>
        <v>2.65E-3</v>
      </c>
      <c r="D61" s="11">
        <f>ROUND($D$17*C61,2)</f>
        <v>5.65</v>
      </c>
    </row>
    <row r="62" spans="1:4" x14ac:dyDescent="0.3">
      <c r="A62" s="127" t="s">
        <v>46</v>
      </c>
      <c r="B62" s="128"/>
      <c r="C62" s="52">
        <f>ROUND(SUM(C61),5)</f>
        <v>2.65E-3</v>
      </c>
      <c r="D62" s="51">
        <f>ROUND(SUM(D61),2)</f>
        <v>5.65</v>
      </c>
    </row>
    <row r="63" spans="1:4" x14ac:dyDescent="0.3">
      <c r="A63" s="127" t="s">
        <v>47</v>
      </c>
      <c r="B63" s="128"/>
      <c r="C63" s="52">
        <f>ROUND(C29+C40+C48+C52+C58+C62,5)</f>
        <v>0.74078999999999995</v>
      </c>
      <c r="D63" s="51">
        <f>ROUND(D29+D40+D48+D52+D58+D62,2)</f>
        <v>1579.53</v>
      </c>
    </row>
    <row r="64" spans="1:4" ht="15" customHeight="1" x14ac:dyDescent="0.3">
      <c r="A64" s="31"/>
      <c r="B64" s="31"/>
      <c r="C64" s="15"/>
      <c r="D64" s="14"/>
    </row>
    <row r="65" spans="1:4" ht="15" customHeight="1" x14ac:dyDescent="0.3">
      <c r="A65" s="127" t="s">
        <v>48</v>
      </c>
      <c r="B65" s="129"/>
      <c r="C65" s="128"/>
      <c r="D65" s="51">
        <f>D17+D63</f>
        <v>3711.7699999999995</v>
      </c>
    </row>
    <row r="66" spans="1:4" ht="15" customHeight="1" x14ac:dyDescent="0.3">
      <c r="A66" s="7"/>
      <c r="B66" s="7"/>
      <c r="C66" s="7"/>
      <c r="D66" s="7"/>
    </row>
    <row r="67" spans="1:4" ht="15" customHeight="1" x14ac:dyDescent="0.3">
      <c r="A67" s="109" t="s">
        <v>119</v>
      </c>
      <c r="B67" s="109"/>
      <c r="C67" s="109"/>
      <c r="D67" s="109"/>
    </row>
    <row r="68" spans="1:4" x14ac:dyDescent="0.3">
      <c r="A68" s="151" t="s">
        <v>49</v>
      </c>
      <c r="B68" s="152"/>
      <c r="C68" s="153"/>
      <c r="D68" s="56" t="s">
        <v>7</v>
      </c>
    </row>
    <row r="69" spans="1:4" ht="159.6" customHeight="1" x14ac:dyDescent="0.3">
      <c r="A69" s="119" t="s">
        <v>77</v>
      </c>
      <c r="B69" s="120"/>
      <c r="C69" s="121"/>
      <c r="D69" s="9">
        <f>ROUND(25.5*15,2)</f>
        <v>382.5</v>
      </c>
    </row>
    <row r="70" spans="1:4" ht="77.55" customHeight="1" x14ac:dyDescent="0.3">
      <c r="A70" s="116" t="s">
        <v>108</v>
      </c>
      <c r="B70" s="117"/>
      <c r="C70" s="118"/>
      <c r="D70" s="69">
        <f>ROUND(($D$69*10%)*-1,2)</f>
        <v>-38.25</v>
      </c>
    </row>
    <row r="71" spans="1:4" ht="53.55" customHeight="1" x14ac:dyDescent="0.3">
      <c r="A71" s="119" t="s">
        <v>51</v>
      </c>
      <c r="B71" s="120"/>
      <c r="C71" s="121"/>
      <c r="D71" s="11">
        <f>ROUND(3.8*2*15,2)</f>
        <v>114</v>
      </c>
    </row>
    <row r="72" spans="1:4" ht="90.6" customHeight="1" x14ac:dyDescent="0.3">
      <c r="A72" s="124" t="s">
        <v>52</v>
      </c>
      <c r="B72" s="125"/>
      <c r="C72" s="126"/>
      <c r="D72" s="69">
        <f>ROUND(($D$12*6%)*-1,2)</f>
        <v>-78.3</v>
      </c>
    </row>
    <row r="73" spans="1:4" ht="48.6" customHeight="1" x14ac:dyDescent="0.3">
      <c r="A73" s="140" t="s">
        <v>115</v>
      </c>
      <c r="B73" s="141"/>
      <c r="C73" s="142"/>
      <c r="D73" s="17">
        <v>109.23</v>
      </c>
    </row>
    <row r="74" spans="1:4" ht="76.05" customHeight="1" x14ac:dyDescent="0.3">
      <c r="A74" s="124" t="s">
        <v>116</v>
      </c>
      <c r="B74" s="125"/>
      <c r="C74" s="126"/>
      <c r="D74" s="69">
        <v>-1</v>
      </c>
    </row>
    <row r="75" spans="1:4" ht="15" customHeight="1" x14ac:dyDescent="0.3">
      <c r="A75" s="140" t="s">
        <v>50</v>
      </c>
      <c r="B75" s="141"/>
      <c r="C75" s="142"/>
      <c r="D75" s="17">
        <f>'Uniforme Vigilante'!F12</f>
        <v>139.02000000000001</v>
      </c>
    </row>
    <row r="76" spans="1:4" ht="15" customHeight="1" x14ac:dyDescent="0.3">
      <c r="A76" s="112" t="s">
        <v>155</v>
      </c>
      <c r="B76" s="113"/>
      <c r="C76" s="114"/>
      <c r="D76" s="70">
        <f>'Equipamento e Munição'!F24</f>
        <v>71</v>
      </c>
    </row>
    <row r="77" spans="1:4" ht="15" customHeight="1" x14ac:dyDescent="0.3">
      <c r="A77" s="108" t="s">
        <v>53</v>
      </c>
      <c r="B77" s="108"/>
      <c r="C77" s="108"/>
      <c r="D77" s="51">
        <f>ROUND(SUM(D69:D76),2)</f>
        <v>698.2</v>
      </c>
    </row>
    <row r="78" spans="1:4" x14ac:dyDescent="0.3">
      <c r="A78" s="31"/>
      <c r="B78" s="31"/>
      <c r="C78" s="31"/>
      <c r="D78" s="14"/>
    </row>
    <row r="79" spans="1:4" ht="30" customHeight="1" x14ac:dyDescent="0.3">
      <c r="A79" s="127" t="s">
        <v>54</v>
      </c>
      <c r="B79" s="129"/>
      <c r="C79" s="128"/>
      <c r="D79" s="51">
        <f>ROUND(D65+D77,2)</f>
        <v>4409.97</v>
      </c>
    </row>
    <row r="80" spans="1:4" ht="15" customHeight="1" x14ac:dyDescent="0.3">
      <c r="A80" s="31"/>
      <c r="B80" s="31"/>
      <c r="C80" s="31"/>
      <c r="D80" s="14"/>
    </row>
    <row r="81" spans="1:4" ht="15" customHeight="1" x14ac:dyDescent="0.3">
      <c r="A81" s="109" t="s">
        <v>120</v>
      </c>
      <c r="B81" s="109"/>
      <c r="C81" s="109"/>
      <c r="D81" s="109"/>
    </row>
    <row r="82" spans="1:4" ht="15" customHeight="1" x14ac:dyDescent="0.3">
      <c r="A82" s="109" t="s">
        <v>122</v>
      </c>
      <c r="B82" s="109"/>
      <c r="C82" s="109"/>
      <c r="D82" s="57" t="s">
        <v>7</v>
      </c>
    </row>
    <row r="83" spans="1:4" ht="50.1" customHeight="1" x14ac:dyDescent="0.3">
      <c r="A83" s="110" t="s">
        <v>122</v>
      </c>
      <c r="B83" s="110"/>
      <c r="C83" s="110"/>
      <c r="D83" s="32">
        <f>ROUND((D12+D13)/192*1.5*15,2)</f>
        <v>198.81</v>
      </c>
    </row>
    <row r="84" spans="1:4" ht="15" customHeight="1" x14ac:dyDescent="0.3">
      <c r="A84" s="108" t="s">
        <v>123</v>
      </c>
      <c r="B84" s="108"/>
      <c r="C84" s="108"/>
      <c r="D84" s="51">
        <f>ROUND(SUM(D83),2)</f>
        <v>198.81</v>
      </c>
    </row>
    <row r="85" spans="1:4" ht="15" customHeight="1" x14ac:dyDescent="0.3">
      <c r="A85" s="31"/>
      <c r="B85" s="31"/>
      <c r="C85" s="31"/>
      <c r="D85" s="14"/>
    </row>
    <row r="86" spans="1:4" ht="27" customHeight="1" x14ac:dyDescent="0.3">
      <c r="A86" s="127" t="s">
        <v>124</v>
      </c>
      <c r="B86" s="129"/>
      <c r="C86" s="128"/>
      <c r="D86" s="51">
        <f>ROUND(D79+D84,2)</f>
        <v>4608.78</v>
      </c>
    </row>
    <row r="87" spans="1:4" x14ac:dyDescent="0.3">
      <c r="A87" s="31"/>
      <c r="B87" s="31"/>
      <c r="C87" s="31"/>
      <c r="D87" s="14"/>
    </row>
    <row r="88" spans="1:4" x14ac:dyDescent="0.3">
      <c r="A88" s="109" t="s">
        <v>121</v>
      </c>
      <c r="B88" s="109"/>
      <c r="C88" s="109"/>
      <c r="D88" s="109"/>
    </row>
    <row r="89" spans="1:4" x14ac:dyDescent="0.3">
      <c r="A89" s="130" t="s">
        <v>55</v>
      </c>
      <c r="B89" s="132"/>
      <c r="C89" s="55" t="s">
        <v>6</v>
      </c>
      <c r="D89" s="55" t="s">
        <v>7</v>
      </c>
    </row>
    <row r="90" spans="1:4" s="1" customFormat="1" ht="30" customHeight="1" x14ac:dyDescent="0.3">
      <c r="A90" s="133" t="s">
        <v>56</v>
      </c>
      <c r="B90" s="134"/>
      <c r="C90" s="25">
        <v>0.05</v>
      </c>
      <c r="D90" s="32">
        <f>ROUND(D86*C90,2)</f>
        <v>230.44</v>
      </c>
    </row>
    <row r="91" spans="1:4" s="1" customFormat="1" ht="30" customHeight="1" x14ac:dyDescent="0.3">
      <c r="A91" s="122" t="s">
        <v>9</v>
      </c>
      <c r="B91" s="123"/>
      <c r="C91" s="71">
        <v>0.1</v>
      </c>
      <c r="D91" s="70">
        <f>ROUND(D86*C91,2)</f>
        <v>460.88</v>
      </c>
    </row>
    <row r="92" spans="1:4" x14ac:dyDescent="0.3">
      <c r="A92" s="127" t="s">
        <v>57</v>
      </c>
      <c r="B92" s="128"/>
      <c r="C92" s="53">
        <f>ROUND(SUM(C90:C91),5)</f>
        <v>0.15</v>
      </c>
      <c r="D92" s="51">
        <f>SUM(D90:D91)</f>
        <v>691.31999999999994</v>
      </c>
    </row>
    <row r="93" spans="1:4" x14ac:dyDescent="0.3">
      <c r="A93" s="31"/>
      <c r="B93" s="31"/>
      <c r="C93" s="13"/>
      <c r="D93" s="14"/>
    </row>
    <row r="94" spans="1:4" ht="30" customHeight="1" x14ac:dyDescent="0.3">
      <c r="A94" s="127" t="s">
        <v>126</v>
      </c>
      <c r="B94" s="129"/>
      <c r="C94" s="128"/>
      <c r="D94" s="51">
        <f>ROUND(D86+D92,2)</f>
        <v>5300.1</v>
      </c>
    </row>
    <row r="95" spans="1:4" x14ac:dyDescent="0.3">
      <c r="A95" s="31"/>
      <c r="B95" s="31"/>
      <c r="C95" s="31"/>
      <c r="D95" s="14"/>
    </row>
    <row r="96" spans="1:4" ht="35.25" customHeight="1" x14ac:dyDescent="0.3">
      <c r="A96" s="135" t="s">
        <v>78</v>
      </c>
      <c r="B96" s="135"/>
      <c r="C96" s="52">
        <f>ROUND(1-(SUM(C99:C101)/1),5)</f>
        <v>0.91349999999999998</v>
      </c>
      <c r="D96" s="51">
        <f>ROUND(D94/C96,2)</f>
        <v>5801.97</v>
      </c>
    </row>
    <row r="97" spans="1:4" x14ac:dyDescent="0.3">
      <c r="A97" s="7"/>
      <c r="B97" s="7"/>
      <c r="C97" s="7"/>
      <c r="D97" s="7"/>
    </row>
    <row r="98" spans="1:4" x14ac:dyDescent="0.3">
      <c r="A98" s="130" t="s">
        <v>58</v>
      </c>
      <c r="B98" s="132"/>
      <c r="C98" s="55" t="s">
        <v>6</v>
      </c>
      <c r="D98" s="55" t="s">
        <v>7</v>
      </c>
    </row>
    <row r="99" spans="1:4" ht="22.05" customHeight="1" x14ac:dyDescent="0.3">
      <c r="A99" s="133" t="s">
        <v>59</v>
      </c>
      <c r="B99" s="134"/>
      <c r="C99" s="25">
        <v>0.05</v>
      </c>
      <c r="D99" s="11">
        <f>ROUND($D$96*C99,2)</f>
        <v>290.10000000000002</v>
      </c>
    </row>
    <row r="100" spans="1:4" ht="22.05" customHeight="1" x14ac:dyDescent="0.3">
      <c r="A100" s="122" t="s">
        <v>60</v>
      </c>
      <c r="B100" s="123"/>
      <c r="C100" s="71">
        <v>0.03</v>
      </c>
      <c r="D100" s="63">
        <f>ROUND($D$96*C100,2)</f>
        <v>174.06</v>
      </c>
    </row>
    <row r="101" spans="1:4" ht="22.05" customHeight="1" x14ac:dyDescent="0.3">
      <c r="A101" s="133" t="s">
        <v>61</v>
      </c>
      <c r="B101" s="134"/>
      <c r="C101" s="25">
        <v>6.4999999999999997E-3</v>
      </c>
      <c r="D101" s="11">
        <f>ROUND($D$96*C101,2)</f>
        <v>37.71</v>
      </c>
    </row>
    <row r="102" spans="1:4" x14ac:dyDescent="0.3">
      <c r="A102" s="127" t="s">
        <v>62</v>
      </c>
      <c r="B102" s="128"/>
      <c r="C102" s="52">
        <f>ROUND(SUM(C99:C101),5)</f>
        <v>8.6499999999999994E-2</v>
      </c>
      <c r="D102" s="51">
        <f>ROUND(SUM(D99:D101),2)</f>
        <v>501.87</v>
      </c>
    </row>
    <row r="103" spans="1:4" x14ac:dyDescent="0.3">
      <c r="A103" s="7"/>
      <c r="B103" s="7"/>
      <c r="C103" s="7"/>
      <c r="D103" s="7"/>
    </row>
    <row r="104" spans="1:4" ht="25.05" customHeight="1" x14ac:dyDescent="0.3">
      <c r="A104" s="127" t="s">
        <v>63</v>
      </c>
      <c r="B104" s="129"/>
      <c r="C104" s="128"/>
      <c r="D104" s="51">
        <f>ROUND(D94+D102,2)</f>
        <v>5801.97</v>
      </c>
    </row>
    <row r="105" spans="1:4" ht="25.05" customHeight="1" x14ac:dyDescent="0.3">
      <c r="A105" s="155" t="s">
        <v>127</v>
      </c>
      <c r="B105" s="156"/>
      <c r="C105" s="157"/>
      <c r="D105" s="51">
        <f>ROUND(D104*2,2)</f>
        <v>11603.94</v>
      </c>
    </row>
    <row r="106" spans="1:4" ht="25.05" customHeight="1" x14ac:dyDescent="0.3">
      <c r="A106" s="127" t="s">
        <v>86</v>
      </c>
      <c r="B106" s="129"/>
      <c r="C106" s="128"/>
      <c r="D106" s="51">
        <f>ROUND(D105*12,2)</f>
        <v>139247.28</v>
      </c>
    </row>
    <row r="107" spans="1:4" ht="25.05" customHeight="1" x14ac:dyDescent="0.3">
      <c r="A107" s="31"/>
      <c r="B107" s="31"/>
      <c r="C107" s="31"/>
      <c r="D107" s="14"/>
    </row>
    <row r="108" spans="1:4" ht="15" customHeight="1" x14ac:dyDescent="0.3">
      <c r="A108" s="150" t="s">
        <v>64</v>
      </c>
      <c r="B108" s="150"/>
      <c r="C108" s="150"/>
      <c r="D108" s="57" t="s">
        <v>6</v>
      </c>
    </row>
    <row r="109" spans="1:4" ht="15" customHeight="1" x14ac:dyDescent="0.3">
      <c r="A109" s="145" t="s">
        <v>128</v>
      </c>
      <c r="B109" s="145"/>
      <c r="C109" s="145"/>
      <c r="D109" s="72">
        <f>C29</f>
        <v>0.39800000000000002</v>
      </c>
    </row>
    <row r="110" spans="1:4" ht="15" customHeight="1" x14ac:dyDescent="0.3">
      <c r="A110" s="115" t="s">
        <v>30</v>
      </c>
      <c r="B110" s="115"/>
      <c r="C110" s="115"/>
      <c r="D110" s="73">
        <f>C40</f>
        <v>0.19356999999999999</v>
      </c>
    </row>
    <row r="111" spans="1:4" ht="15" customHeight="1" x14ac:dyDescent="0.3">
      <c r="A111" s="145" t="s">
        <v>35</v>
      </c>
      <c r="B111" s="145"/>
      <c r="C111" s="145"/>
      <c r="D111" s="72">
        <f>C48</f>
        <v>6.694E-2</v>
      </c>
    </row>
    <row r="112" spans="1:4" ht="15" customHeight="1" x14ac:dyDescent="0.3">
      <c r="A112" s="115" t="s">
        <v>38</v>
      </c>
      <c r="B112" s="115"/>
      <c r="C112" s="115"/>
      <c r="D112" s="73">
        <f>C52</f>
        <v>7.7039999999999997E-2</v>
      </c>
    </row>
    <row r="113" spans="1:4" ht="15" customHeight="1" x14ac:dyDescent="0.3">
      <c r="A113" s="145" t="s">
        <v>43</v>
      </c>
      <c r="B113" s="145"/>
      <c r="C113" s="145"/>
      <c r="D113" s="72">
        <f>C58</f>
        <v>2.5899999999999999E-3</v>
      </c>
    </row>
    <row r="114" spans="1:4" ht="15" customHeight="1" x14ac:dyDescent="0.3">
      <c r="A114" s="115" t="s">
        <v>46</v>
      </c>
      <c r="B114" s="115"/>
      <c r="C114" s="115"/>
      <c r="D114" s="73">
        <f>C62</f>
        <v>2.65E-3</v>
      </c>
    </row>
    <row r="115" spans="1:4" ht="15" customHeight="1" x14ac:dyDescent="0.3">
      <c r="A115" s="154" t="s">
        <v>129</v>
      </c>
      <c r="B115" s="154"/>
      <c r="C115" s="154"/>
      <c r="D115" s="61">
        <f>ROUND(SUM(D109:D114),5)</f>
        <v>0.74078999999999995</v>
      </c>
    </row>
  </sheetData>
  <mergeCells count="96">
    <mergeCell ref="A115:C115"/>
    <mergeCell ref="A102:B102"/>
    <mergeCell ref="A104:C104"/>
    <mergeCell ref="A105:C105"/>
    <mergeCell ref="A106:C106"/>
    <mergeCell ref="A108:C108"/>
    <mergeCell ref="A109:C109"/>
    <mergeCell ref="A96:B96"/>
    <mergeCell ref="A98:B98"/>
    <mergeCell ref="A110:C110"/>
    <mergeCell ref="A111:C111"/>
    <mergeCell ref="A112:C112"/>
    <mergeCell ref="A113:C113"/>
    <mergeCell ref="A114:C114"/>
    <mergeCell ref="A99:B99"/>
    <mergeCell ref="A100:B100"/>
    <mergeCell ref="A101:B101"/>
    <mergeCell ref="A90:B90"/>
    <mergeCell ref="A91:B91"/>
    <mergeCell ref="A92:B92"/>
    <mergeCell ref="A94:C94"/>
    <mergeCell ref="A84:C84"/>
    <mergeCell ref="A86:C86"/>
    <mergeCell ref="A88:D88"/>
    <mergeCell ref="A89:B89"/>
    <mergeCell ref="A77:C77"/>
    <mergeCell ref="A79:C79"/>
    <mergeCell ref="A81:D81"/>
    <mergeCell ref="A82:C82"/>
    <mergeCell ref="A83:C83"/>
    <mergeCell ref="A70:C70"/>
    <mergeCell ref="A71:C71"/>
    <mergeCell ref="A72:C72"/>
    <mergeCell ref="A73:C73"/>
    <mergeCell ref="A62:B62"/>
    <mergeCell ref="A63:B63"/>
    <mergeCell ref="A65:C65"/>
    <mergeCell ref="A67:D67"/>
    <mergeCell ref="A68:C68"/>
    <mergeCell ref="A74:C74"/>
    <mergeCell ref="A75:C75"/>
    <mergeCell ref="A76:C76"/>
    <mergeCell ref="A69:C69"/>
    <mergeCell ref="A61:B61"/>
    <mergeCell ref="A52:B52"/>
    <mergeCell ref="A54:B54"/>
    <mergeCell ref="A55:B55"/>
    <mergeCell ref="A56:B56"/>
    <mergeCell ref="A57:B57"/>
    <mergeCell ref="A58:B58"/>
    <mergeCell ref="A60:B60"/>
    <mergeCell ref="A48:B48"/>
    <mergeCell ref="A50:B50"/>
    <mergeCell ref="A51:B51"/>
    <mergeCell ref="A43:B43"/>
    <mergeCell ref="A44:B44"/>
    <mergeCell ref="A45:B45"/>
    <mergeCell ref="A46:B46"/>
    <mergeCell ref="A47:B47"/>
    <mergeCell ref="A40:B40"/>
    <mergeCell ref="A42:B42"/>
    <mergeCell ref="A36:B36"/>
    <mergeCell ref="A37:B37"/>
    <mergeCell ref="A38:B38"/>
    <mergeCell ref="A32:B32"/>
    <mergeCell ref="A33:B33"/>
    <mergeCell ref="A34:B34"/>
    <mergeCell ref="A35:B35"/>
    <mergeCell ref="A39:B39"/>
    <mergeCell ref="A27:B27"/>
    <mergeCell ref="A28:B28"/>
    <mergeCell ref="A29:B29"/>
    <mergeCell ref="A31:B31"/>
    <mergeCell ref="A24:B24"/>
    <mergeCell ref="A25:B25"/>
    <mergeCell ref="A26:B26"/>
    <mergeCell ref="A21:B21"/>
    <mergeCell ref="A22:B22"/>
    <mergeCell ref="A23:B23"/>
    <mergeCell ref="A16:B16"/>
    <mergeCell ref="A17:C17"/>
    <mergeCell ref="A19:D19"/>
    <mergeCell ref="A20:B20"/>
    <mergeCell ref="A10:D10"/>
    <mergeCell ref="A11:B11"/>
    <mergeCell ref="A12:B12"/>
    <mergeCell ref="A13:B13"/>
    <mergeCell ref="A14:B14"/>
    <mergeCell ref="A15:B15"/>
    <mergeCell ref="A1:D1"/>
    <mergeCell ref="B2:D2"/>
    <mergeCell ref="B3:D3"/>
    <mergeCell ref="B4:D4"/>
    <mergeCell ref="B5:D5"/>
    <mergeCell ref="B6:D6"/>
    <mergeCell ref="A9:D9"/>
  </mergeCells>
  <printOptions horizontalCentered="1" verticalCentered="1"/>
  <pageMargins left="0.51181102362204722" right="0.51181102362204722" top="0.98425196850393704" bottom="0.98425196850393704" header="0.31496062992125984" footer="0.31496062992125984"/>
  <pageSetup paperSize="9" fitToHeight="0" orientation="landscape" r:id="rId1"/>
  <headerFooter>
    <oddFooter>&amp;C&amp;"Arial,Normal"&amp;8Página &amp;P de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6"/>
  <sheetViews>
    <sheetView view="pageBreakPreview" zoomScaleNormal="100" zoomScaleSheetLayoutView="100" workbookViewId="0">
      <selection activeCell="E22" sqref="F22"/>
    </sheetView>
  </sheetViews>
  <sheetFormatPr defaultRowHeight="14.4" x14ac:dyDescent="0.3"/>
  <cols>
    <col min="1" max="1" width="6.44140625" customWidth="1"/>
    <col min="2" max="2" width="25.44140625" customWidth="1"/>
    <col min="3" max="3" width="9.21875" customWidth="1"/>
    <col min="5" max="5" width="14.21875" customWidth="1"/>
    <col min="6" max="6" width="15.77734375" customWidth="1"/>
  </cols>
  <sheetData>
    <row r="1" spans="1:6" ht="15" customHeight="1" x14ac:dyDescent="0.3">
      <c r="A1" s="159" t="s">
        <v>133</v>
      </c>
      <c r="B1" s="160"/>
      <c r="C1" s="160"/>
      <c r="D1" s="160"/>
      <c r="E1" s="160"/>
      <c r="F1" s="161"/>
    </row>
    <row r="2" spans="1:6" ht="39.75" customHeight="1" x14ac:dyDescent="0.3">
      <c r="A2" s="55" t="s">
        <v>64</v>
      </c>
      <c r="B2" s="74" t="s">
        <v>66</v>
      </c>
      <c r="C2" s="55" t="s">
        <v>67</v>
      </c>
      <c r="D2" s="55" t="s">
        <v>70</v>
      </c>
      <c r="E2" s="55" t="s">
        <v>71</v>
      </c>
      <c r="F2" s="55" t="s">
        <v>72</v>
      </c>
    </row>
    <row r="3" spans="1:6" ht="15.75" customHeight="1" x14ac:dyDescent="0.3">
      <c r="A3" s="33">
        <f>1</f>
        <v>1</v>
      </c>
      <c r="B3" s="35" t="s">
        <v>79</v>
      </c>
      <c r="C3" s="33" t="s">
        <v>68</v>
      </c>
      <c r="D3" s="33">
        <v>4</v>
      </c>
      <c r="E3" s="37">
        <v>37.950000000000003</v>
      </c>
      <c r="F3" s="36">
        <f t="shared" ref="F3:F10" si="0">ROUND(E3*D3,2)</f>
        <v>151.80000000000001</v>
      </c>
    </row>
    <row r="4" spans="1:6" ht="15.75" customHeight="1" x14ac:dyDescent="0.3">
      <c r="A4" s="75">
        <f t="shared" ref="A4:A9" si="1">A3+1</f>
        <v>2</v>
      </c>
      <c r="B4" s="76" t="s">
        <v>80</v>
      </c>
      <c r="C4" s="75" t="s">
        <v>68</v>
      </c>
      <c r="D4" s="75">
        <v>8</v>
      </c>
      <c r="E4" s="77">
        <v>40.86</v>
      </c>
      <c r="F4" s="77">
        <f t="shared" si="0"/>
        <v>326.88</v>
      </c>
    </row>
    <row r="5" spans="1:6" ht="15.75" customHeight="1" x14ac:dyDescent="0.3">
      <c r="A5" s="33">
        <f t="shared" si="1"/>
        <v>3</v>
      </c>
      <c r="B5" s="43" t="s">
        <v>134</v>
      </c>
      <c r="C5" s="33" t="s">
        <v>68</v>
      </c>
      <c r="D5" s="33">
        <v>2</v>
      </c>
      <c r="E5" s="36">
        <v>42.51</v>
      </c>
      <c r="F5" s="36">
        <f t="shared" si="0"/>
        <v>85.02</v>
      </c>
    </row>
    <row r="6" spans="1:6" ht="30" customHeight="1" x14ac:dyDescent="0.3">
      <c r="A6" s="75">
        <f t="shared" si="1"/>
        <v>4</v>
      </c>
      <c r="B6" s="76" t="s">
        <v>144</v>
      </c>
      <c r="C6" s="75" t="s">
        <v>68</v>
      </c>
      <c r="D6" s="75">
        <v>2</v>
      </c>
      <c r="E6" s="77">
        <v>78.77</v>
      </c>
      <c r="F6" s="77">
        <f t="shared" si="0"/>
        <v>157.54</v>
      </c>
    </row>
    <row r="7" spans="1:6" ht="26.1" customHeight="1" x14ac:dyDescent="0.3">
      <c r="A7" s="33">
        <f t="shared" si="1"/>
        <v>5</v>
      </c>
      <c r="B7" s="43" t="s">
        <v>165</v>
      </c>
      <c r="C7" s="33" t="s">
        <v>69</v>
      </c>
      <c r="D7" s="33">
        <v>4</v>
      </c>
      <c r="E7" s="36">
        <v>67.48</v>
      </c>
      <c r="F7" s="36">
        <f t="shared" si="0"/>
        <v>269.92</v>
      </c>
    </row>
    <row r="8" spans="1:6" ht="15" customHeight="1" x14ac:dyDescent="0.3">
      <c r="A8" s="75">
        <f t="shared" si="1"/>
        <v>6</v>
      </c>
      <c r="B8" s="76" t="s">
        <v>145</v>
      </c>
      <c r="C8" s="75" t="s">
        <v>69</v>
      </c>
      <c r="D8" s="75">
        <v>2</v>
      </c>
      <c r="E8" s="77">
        <v>317.23</v>
      </c>
      <c r="F8" s="77">
        <f t="shared" si="0"/>
        <v>634.46</v>
      </c>
    </row>
    <row r="9" spans="1:6" ht="15.75" customHeight="1" x14ac:dyDescent="0.3">
      <c r="A9" s="33">
        <f t="shared" si="1"/>
        <v>7</v>
      </c>
      <c r="B9" s="43" t="s">
        <v>135</v>
      </c>
      <c r="C9" s="33" t="s">
        <v>68</v>
      </c>
      <c r="D9" s="33">
        <v>1</v>
      </c>
      <c r="E9" s="36">
        <v>37.659999999999997</v>
      </c>
      <c r="F9" s="36">
        <f t="shared" si="0"/>
        <v>37.659999999999997</v>
      </c>
    </row>
    <row r="10" spans="1:6" ht="15.75" customHeight="1" x14ac:dyDescent="0.3">
      <c r="A10" s="75">
        <f>A9+1</f>
        <v>8</v>
      </c>
      <c r="B10" s="76" t="s">
        <v>81</v>
      </c>
      <c r="C10" s="75" t="s">
        <v>68</v>
      </c>
      <c r="D10" s="75">
        <v>1</v>
      </c>
      <c r="E10" s="77">
        <v>4.9800000000000004</v>
      </c>
      <c r="F10" s="77">
        <f t="shared" si="0"/>
        <v>4.9800000000000004</v>
      </c>
    </row>
    <row r="11" spans="1:6" ht="15" customHeight="1" x14ac:dyDescent="0.3">
      <c r="A11" s="162" t="s">
        <v>146</v>
      </c>
      <c r="B11" s="163"/>
      <c r="C11" s="163"/>
      <c r="D11" s="163"/>
      <c r="E11" s="164"/>
      <c r="F11" s="78">
        <f>ROUND(SUM(F3:F10),2)</f>
        <v>1668.26</v>
      </c>
    </row>
    <row r="12" spans="1:6" ht="15" customHeight="1" x14ac:dyDescent="0.3">
      <c r="A12" s="162" t="s">
        <v>147</v>
      </c>
      <c r="B12" s="163"/>
      <c r="C12" s="163"/>
      <c r="D12" s="163"/>
      <c r="E12" s="164"/>
      <c r="F12" s="78">
        <f>ROUND(F11/12,2)</f>
        <v>139.02000000000001</v>
      </c>
    </row>
    <row r="13" spans="1:6" x14ac:dyDescent="0.3">
      <c r="A13" s="4"/>
      <c r="B13" s="4"/>
      <c r="C13" s="4"/>
      <c r="D13" s="4"/>
      <c r="E13" s="4"/>
      <c r="F13" s="4"/>
    </row>
    <row r="14" spans="1:6" x14ac:dyDescent="0.3">
      <c r="A14" s="99" t="s">
        <v>106</v>
      </c>
      <c r="B14" s="100"/>
      <c r="C14" s="100"/>
      <c r="D14" s="100"/>
      <c r="E14" s="100"/>
      <c r="F14" s="101"/>
    </row>
    <row r="15" spans="1:6" x14ac:dyDescent="0.3">
      <c r="A15" s="158" t="s">
        <v>158</v>
      </c>
      <c r="B15" s="158"/>
      <c r="C15" s="158"/>
      <c r="D15" s="158"/>
      <c r="E15" s="158"/>
      <c r="F15" s="158"/>
    </row>
    <row r="16" spans="1:6" x14ac:dyDescent="0.3">
      <c r="A16" s="158"/>
      <c r="B16" s="158"/>
      <c r="C16" s="158"/>
      <c r="D16" s="158"/>
      <c r="E16" s="158"/>
      <c r="F16" s="158"/>
    </row>
  </sheetData>
  <mergeCells count="5">
    <mergeCell ref="A14:F14"/>
    <mergeCell ref="A15:F16"/>
    <mergeCell ref="A1:F1"/>
    <mergeCell ref="A11:E11"/>
    <mergeCell ref="A12:E12"/>
  </mergeCells>
  <printOptions horizontalCentered="1" verticalCentered="1"/>
  <pageMargins left="0.51181102362204722" right="0.51181102362204722" top="0.98425196850393704" bottom="0.98425196850393704" header="0.31496062992125984" footer="0.31496062992125984"/>
  <pageSetup paperSize="9" fitToHeight="0" orientation="landscape" r:id="rId1"/>
  <headerFooter>
    <oddFooter>&amp;C&amp;"Arial,Normal"&amp;8Página &amp;P de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34"/>
  <sheetViews>
    <sheetView view="pageBreakPreview" zoomScaleNormal="100" zoomScaleSheetLayoutView="100" workbookViewId="0">
      <selection activeCell="E22" sqref="F22"/>
    </sheetView>
  </sheetViews>
  <sheetFormatPr defaultRowHeight="14.4" x14ac:dyDescent="0.3"/>
  <cols>
    <col min="1" max="1" width="6" customWidth="1"/>
    <col min="2" max="2" width="38.77734375" customWidth="1"/>
    <col min="3" max="3" width="9.21875" customWidth="1"/>
    <col min="5" max="5" width="12.77734375" customWidth="1"/>
    <col min="6" max="6" width="15.44140625" customWidth="1"/>
  </cols>
  <sheetData>
    <row r="1" spans="1:6" ht="15" customHeight="1" x14ac:dyDescent="0.3">
      <c r="A1" s="159" t="s">
        <v>139</v>
      </c>
      <c r="B1" s="160"/>
      <c r="C1" s="160"/>
      <c r="D1" s="160"/>
      <c r="E1" s="160"/>
      <c r="F1" s="161"/>
    </row>
    <row r="2" spans="1:6" ht="15" customHeight="1" x14ac:dyDescent="0.3">
      <c r="A2" s="165" t="s">
        <v>85</v>
      </c>
      <c r="B2" s="166"/>
      <c r="C2" s="166"/>
      <c r="D2" s="166"/>
      <c r="E2" s="166"/>
      <c r="F2" s="166"/>
    </row>
    <row r="3" spans="1:6" ht="37.5" customHeight="1" x14ac:dyDescent="0.3">
      <c r="A3" s="55" t="s">
        <v>64</v>
      </c>
      <c r="B3" s="55" t="s">
        <v>66</v>
      </c>
      <c r="C3" s="80" t="s">
        <v>67</v>
      </c>
      <c r="D3" s="80" t="s">
        <v>73</v>
      </c>
      <c r="E3" s="55" t="s">
        <v>71</v>
      </c>
      <c r="F3" s="55" t="s">
        <v>72</v>
      </c>
    </row>
    <row r="4" spans="1:6" ht="15" customHeight="1" x14ac:dyDescent="0.3">
      <c r="A4" s="34">
        <v>1</v>
      </c>
      <c r="B4" s="43" t="s">
        <v>157</v>
      </c>
      <c r="C4" s="34" t="s">
        <v>74</v>
      </c>
      <c r="D4" s="34">
        <v>0.5</v>
      </c>
      <c r="E4" s="38">
        <v>4309.53</v>
      </c>
      <c r="F4" s="39">
        <f>ROUND(D4*E4,2)</f>
        <v>2154.77</v>
      </c>
    </row>
    <row r="5" spans="1:6" ht="15" customHeight="1" x14ac:dyDescent="0.3">
      <c r="A5" s="47">
        <f>A4+1</f>
        <v>2</v>
      </c>
      <c r="B5" s="76" t="s">
        <v>149</v>
      </c>
      <c r="C5" s="47" t="s">
        <v>74</v>
      </c>
      <c r="D5" s="47">
        <v>0.5</v>
      </c>
      <c r="E5" s="81">
        <v>49.9</v>
      </c>
      <c r="F5" s="70">
        <f t="shared" ref="F5:F14" si="0">ROUND(D5*E5,2)</f>
        <v>24.95</v>
      </c>
    </row>
    <row r="6" spans="1:6" ht="26.55" customHeight="1" x14ac:dyDescent="0.3">
      <c r="A6" s="34">
        <f t="shared" ref="A6:A15" si="1">A5+1</f>
        <v>3</v>
      </c>
      <c r="B6" s="43" t="s">
        <v>153</v>
      </c>
      <c r="C6" s="34" t="s">
        <v>74</v>
      </c>
      <c r="D6" s="34">
        <v>0.5</v>
      </c>
      <c r="E6" s="38">
        <v>82.98</v>
      </c>
      <c r="F6" s="39">
        <f t="shared" si="0"/>
        <v>41.49</v>
      </c>
    </row>
    <row r="7" spans="1:6" ht="15" customHeight="1" x14ac:dyDescent="0.3">
      <c r="A7" s="47">
        <f t="shared" si="1"/>
        <v>4</v>
      </c>
      <c r="B7" s="76" t="s">
        <v>136</v>
      </c>
      <c r="C7" s="47" t="s">
        <v>74</v>
      </c>
      <c r="D7" s="47">
        <v>0.5</v>
      </c>
      <c r="E7" s="81">
        <v>14.7</v>
      </c>
      <c r="F7" s="70">
        <f t="shared" si="0"/>
        <v>7.35</v>
      </c>
    </row>
    <row r="8" spans="1:6" ht="15" customHeight="1" x14ac:dyDescent="0.3">
      <c r="A8" s="34">
        <f t="shared" si="1"/>
        <v>5</v>
      </c>
      <c r="B8" s="43" t="s">
        <v>148</v>
      </c>
      <c r="C8" s="34" t="s">
        <v>74</v>
      </c>
      <c r="D8" s="34">
        <v>0.5</v>
      </c>
      <c r="E8" s="38">
        <v>151.33000000000001</v>
      </c>
      <c r="F8" s="39">
        <f t="shared" si="0"/>
        <v>75.67</v>
      </c>
    </row>
    <row r="9" spans="1:6" ht="28.05" customHeight="1" x14ac:dyDescent="0.3">
      <c r="A9" s="47">
        <f t="shared" si="1"/>
        <v>6</v>
      </c>
      <c r="B9" s="76" t="s">
        <v>150</v>
      </c>
      <c r="C9" s="47" t="s">
        <v>74</v>
      </c>
      <c r="D9" s="47">
        <v>0.5</v>
      </c>
      <c r="E9" s="81">
        <v>25</v>
      </c>
      <c r="F9" s="70">
        <f t="shared" si="0"/>
        <v>12.5</v>
      </c>
    </row>
    <row r="10" spans="1:6" ht="15" customHeight="1" x14ac:dyDescent="0.3">
      <c r="A10" s="34">
        <f t="shared" si="1"/>
        <v>7</v>
      </c>
      <c r="B10" s="43" t="s">
        <v>151</v>
      </c>
      <c r="C10" s="34" t="s">
        <v>74</v>
      </c>
      <c r="D10" s="34">
        <v>0.5</v>
      </c>
      <c r="E10" s="38">
        <v>172.86</v>
      </c>
      <c r="F10" s="39">
        <f t="shared" si="0"/>
        <v>86.43</v>
      </c>
    </row>
    <row r="11" spans="1:6" ht="25.5" customHeight="1" x14ac:dyDescent="0.3">
      <c r="A11" s="47">
        <f>A10+1</f>
        <v>8</v>
      </c>
      <c r="B11" s="76" t="s">
        <v>156</v>
      </c>
      <c r="C11" s="47" t="s">
        <v>74</v>
      </c>
      <c r="D11" s="47">
        <v>1</v>
      </c>
      <c r="E11" s="81">
        <v>66.489999999999995</v>
      </c>
      <c r="F11" s="70">
        <f t="shared" ref="F11" si="2">ROUND(D11*E11,2)</f>
        <v>66.489999999999995</v>
      </c>
    </row>
    <row r="12" spans="1:6" ht="24" customHeight="1" x14ac:dyDescent="0.3">
      <c r="A12" s="34">
        <f>A11+1</f>
        <v>9</v>
      </c>
      <c r="B12" s="43" t="s">
        <v>159</v>
      </c>
      <c r="C12" s="34" t="s">
        <v>74</v>
      </c>
      <c r="D12" s="34">
        <v>0.5</v>
      </c>
      <c r="E12" s="38">
        <v>1770.6</v>
      </c>
      <c r="F12" s="39">
        <f t="shared" si="0"/>
        <v>885.3</v>
      </c>
    </row>
    <row r="13" spans="1:6" ht="15" customHeight="1" x14ac:dyDescent="0.3">
      <c r="A13" s="47">
        <f t="shared" si="1"/>
        <v>10</v>
      </c>
      <c r="B13" s="76" t="s">
        <v>137</v>
      </c>
      <c r="C13" s="47" t="s">
        <v>74</v>
      </c>
      <c r="D13" s="47">
        <v>1</v>
      </c>
      <c r="E13" s="81">
        <v>13.71</v>
      </c>
      <c r="F13" s="70">
        <f t="shared" si="0"/>
        <v>13.71</v>
      </c>
    </row>
    <row r="14" spans="1:6" ht="29.55" customHeight="1" x14ac:dyDescent="0.3">
      <c r="A14" s="34">
        <f t="shared" si="1"/>
        <v>11</v>
      </c>
      <c r="B14" s="35" t="s">
        <v>138</v>
      </c>
      <c r="C14" s="34" t="s">
        <v>74</v>
      </c>
      <c r="D14" s="34">
        <v>1</v>
      </c>
      <c r="E14" s="41">
        <v>1500</v>
      </c>
      <c r="F14" s="39">
        <f t="shared" si="0"/>
        <v>1500</v>
      </c>
    </row>
    <row r="15" spans="1:6" ht="29.55" customHeight="1" x14ac:dyDescent="0.3">
      <c r="A15" s="47">
        <f t="shared" si="1"/>
        <v>12</v>
      </c>
      <c r="B15" s="82" t="s">
        <v>152</v>
      </c>
      <c r="C15" s="47" t="s">
        <v>74</v>
      </c>
      <c r="D15" s="47">
        <v>1</v>
      </c>
      <c r="E15" s="83">
        <v>255.82</v>
      </c>
      <c r="F15" s="70">
        <f t="shared" ref="F15" si="3">ROUND(D15*E15,2)</f>
        <v>255.82</v>
      </c>
    </row>
    <row r="16" spans="1:6" ht="14.55" customHeight="1" x14ac:dyDescent="0.3">
      <c r="A16" s="129" t="s">
        <v>101</v>
      </c>
      <c r="B16" s="129"/>
      <c r="C16" s="129"/>
      <c r="D16" s="129"/>
      <c r="E16" s="128"/>
      <c r="F16" s="51">
        <f>ROUND(SUM(F4:F15),2)</f>
        <v>5124.4799999999996</v>
      </c>
    </row>
    <row r="17" spans="1:6" ht="27" customHeight="1" x14ac:dyDescent="0.3">
      <c r="A17" s="127" t="s">
        <v>102</v>
      </c>
      <c r="B17" s="129"/>
      <c r="C17" s="129"/>
      <c r="D17" s="129"/>
      <c r="E17" s="128"/>
      <c r="F17" s="51">
        <f>ROUND(0.6*83*F16/10000,2)</f>
        <v>25.52</v>
      </c>
    </row>
    <row r="18" spans="1:6" ht="27" customHeight="1" x14ac:dyDescent="0.3">
      <c r="A18" s="127" t="s">
        <v>103</v>
      </c>
      <c r="B18" s="129"/>
      <c r="C18" s="129"/>
      <c r="D18" s="129"/>
      <c r="E18" s="128"/>
      <c r="F18" s="51">
        <f>ROUND(F16*(1-0.2)/(12*8),2)</f>
        <v>42.7</v>
      </c>
    </row>
    <row r="19" spans="1:6" ht="27" customHeight="1" x14ac:dyDescent="0.3">
      <c r="A19" s="127" t="s">
        <v>104</v>
      </c>
      <c r="B19" s="129"/>
      <c r="C19" s="129"/>
      <c r="D19" s="129"/>
      <c r="E19" s="128"/>
      <c r="F19" s="51">
        <f>ROUND(F17+F18,2)</f>
        <v>68.22</v>
      </c>
    </row>
    <row r="20" spans="1:6" ht="5.0999999999999996" customHeight="1" x14ac:dyDescent="0.3">
      <c r="A20" s="40"/>
      <c r="B20" s="40"/>
      <c r="C20" s="40"/>
      <c r="D20" s="40"/>
      <c r="E20" s="40"/>
      <c r="F20" s="14"/>
    </row>
    <row r="21" spans="1:6" ht="15" customHeight="1" x14ac:dyDescent="0.3">
      <c r="A21" s="165" t="s">
        <v>143</v>
      </c>
      <c r="B21" s="166"/>
      <c r="C21" s="166"/>
      <c r="D21" s="166"/>
      <c r="E21" s="166"/>
      <c r="F21" s="166"/>
    </row>
    <row r="22" spans="1:6" ht="37.5" customHeight="1" x14ac:dyDescent="0.3">
      <c r="A22" s="55" t="s">
        <v>64</v>
      </c>
      <c r="B22" s="55" t="s">
        <v>66</v>
      </c>
      <c r="C22" s="80" t="s">
        <v>67</v>
      </c>
      <c r="D22" s="80" t="s">
        <v>73</v>
      </c>
      <c r="E22" s="55" t="s">
        <v>71</v>
      </c>
      <c r="F22" s="55" t="s">
        <v>72</v>
      </c>
    </row>
    <row r="23" spans="1:6" ht="28.5" customHeight="1" x14ac:dyDescent="0.3">
      <c r="A23" s="34">
        <v>1</v>
      </c>
      <c r="B23" s="43" t="s">
        <v>141</v>
      </c>
      <c r="C23" s="34" t="s">
        <v>142</v>
      </c>
      <c r="D23" s="34">
        <f>ROUND((10/12/10)/2,5)</f>
        <v>4.1669999999999999E-2</v>
      </c>
      <c r="E23" s="38">
        <v>66.63</v>
      </c>
      <c r="F23" s="39">
        <f>ROUND(D23*E23,2)</f>
        <v>2.78</v>
      </c>
    </row>
    <row r="24" spans="1:6" ht="27" customHeight="1" x14ac:dyDescent="0.3">
      <c r="A24" s="127" t="s">
        <v>140</v>
      </c>
      <c r="B24" s="129"/>
      <c r="C24" s="129"/>
      <c r="D24" s="129"/>
      <c r="E24" s="128"/>
      <c r="F24" s="51">
        <f>ROUND(F19+F23,2)</f>
        <v>71</v>
      </c>
    </row>
    <row r="25" spans="1:6" x14ac:dyDescent="0.3">
      <c r="A25" s="40"/>
      <c r="B25" s="40"/>
      <c r="C25" s="40"/>
      <c r="D25" s="40"/>
      <c r="E25" s="40"/>
      <c r="F25" s="14"/>
    </row>
    <row r="26" spans="1:6" ht="14.55" customHeight="1" x14ac:dyDescent="0.3">
      <c r="A26" s="167" t="s">
        <v>106</v>
      </c>
      <c r="B26" s="167"/>
      <c r="C26" s="167"/>
      <c r="D26" s="167"/>
      <c r="E26" s="167"/>
      <c r="F26" s="167"/>
    </row>
    <row r="27" spans="1:6" ht="14.55" customHeight="1" x14ac:dyDescent="0.3">
      <c r="A27" s="158" t="s">
        <v>158</v>
      </c>
      <c r="B27" s="158"/>
      <c r="C27" s="158"/>
      <c r="D27" s="158"/>
      <c r="E27" s="158"/>
      <c r="F27" s="158"/>
    </row>
    <row r="28" spans="1:6" x14ac:dyDescent="0.3">
      <c r="A28" s="158"/>
      <c r="B28" s="158"/>
      <c r="C28" s="158"/>
      <c r="D28" s="158"/>
      <c r="E28" s="158"/>
      <c r="F28" s="158"/>
    </row>
    <row r="29" spans="1:6" x14ac:dyDescent="0.3">
      <c r="A29" s="44"/>
      <c r="B29" s="45"/>
      <c r="C29" s="45"/>
      <c r="D29" s="45"/>
      <c r="E29" s="45"/>
      <c r="F29" s="7"/>
    </row>
    <row r="30" spans="1:6" ht="14.55" customHeight="1" x14ac:dyDescent="0.3">
      <c r="A30" s="109" t="s">
        <v>82</v>
      </c>
      <c r="B30" s="109"/>
      <c r="C30" s="109"/>
      <c r="D30" s="109"/>
      <c r="E30" s="109"/>
      <c r="F30" s="109"/>
    </row>
    <row r="31" spans="1:6" ht="100.05" customHeight="1" x14ac:dyDescent="0.3">
      <c r="A31" s="110" t="s">
        <v>94</v>
      </c>
      <c r="B31" s="110"/>
      <c r="C31" s="110"/>
      <c r="D31" s="110"/>
      <c r="E31" s="110"/>
      <c r="F31" s="110"/>
    </row>
    <row r="32" spans="1:6" x14ac:dyDescent="0.3">
      <c r="A32" s="7"/>
      <c r="B32" s="7"/>
      <c r="C32" s="7"/>
      <c r="D32" s="7"/>
      <c r="E32" s="7"/>
      <c r="F32" s="7"/>
    </row>
    <row r="33" spans="1:6" ht="14.55" customHeight="1" x14ac:dyDescent="0.3">
      <c r="A33" s="109" t="s">
        <v>83</v>
      </c>
      <c r="B33" s="109"/>
      <c r="C33" s="109"/>
      <c r="D33" s="109"/>
      <c r="E33" s="109"/>
      <c r="F33" s="109"/>
    </row>
    <row r="34" spans="1:6" ht="32.1" customHeight="1" x14ac:dyDescent="0.3">
      <c r="A34" s="110" t="s">
        <v>84</v>
      </c>
      <c r="B34" s="110"/>
      <c r="C34" s="110"/>
      <c r="D34" s="110"/>
      <c r="E34" s="110"/>
      <c r="F34" s="110"/>
    </row>
  </sheetData>
  <mergeCells count="14">
    <mergeCell ref="A34:F34"/>
    <mergeCell ref="A1:F1"/>
    <mergeCell ref="A2:F2"/>
    <mergeCell ref="A26:F26"/>
    <mergeCell ref="A27:F28"/>
    <mergeCell ref="A30:F30"/>
    <mergeCell ref="A31:F31"/>
    <mergeCell ref="A33:F33"/>
    <mergeCell ref="A24:E24"/>
    <mergeCell ref="A16:E16"/>
    <mergeCell ref="A17:E17"/>
    <mergeCell ref="A18:E18"/>
    <mergeCell ref="A19:E19"/>
    <mergeCell ref="A21:F21"/>
  </mergeCells>
  <printOptions horizontalCentered="1" verticalCentered="1"/>
  <pageMargins left="0.51181102362204722" right="0.51181102362204722" top="0.98425196850393704" bottom="0.98425196850393704" header="0.31496062992125984" footer="0.31496062992125984"/>
  <pageSetup paperSize="9" fitToHeight="0" orientation="landscape" r:id="rId1"/>
  <headerFooter>
    <oddFooter>&amp;C&amp;"Arial,Normal"&amp;8Página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5</vt:i4>
      </vt:variant>
    </vt:vector>
  </HeadingPairs>
  <TitlesOfParts>
    <vt:vector size="10" baseType="lpstr">
      <vt:lpstr>Quadro Geral</vt:lpstr>
      <vt:lpstr>Vigilante Diurno 12x36</vt:lpstr>
      <vt:lpstr>Vigilante Noturno 12x36</vt:lpstr>
      <vt:lpstr>Uniforme Vigilante</vt:lpstr>
      <vt:lpstr>Equipamento e Munição</vt:lpstr>
      <vt:lpstr>'Equipamento e Munição'!Area_de_impressao</vt:lpstr>
      <vt:lpstr>'Quadro Geral'!Area_de_impressao</vt:lpstr>
      <vt:lpstr>'Uniforme Vigilante'!Area_de_impressao</vt:lpstr>
      <vt:lpstr>'Vigilante Diurno 12x36'!Area_de_impressao</vt:lpstr>
      <vt:lpstr>'Vigilante Noturno 12x36'!Area_de_impressao</vt:lpstr>
    </vt:vector>
  </TitlesOfParts>
  <Company>Conselho Federal de Enfermagem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Abraao Azevedo</dc:creator>
  <cp:lastModifiedBy>admin</cp:lastModifiedBy>
  <cp:lastPrinted>2021-02-17T19:27:57Z</cp:lastPrinted>
  <dcterms:created xsi:type="dcterms:W3CDTF">2019-11-11T13:48:18Z</dcterms:created>
  <dcterms:modified xsi:type="dcterms:W3CDTF">2021-04-27T17:54:46Z</dcterms:modified>
</cp:coreProperties>
</file>