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ROCESSOS LICITATÓRIOS\2020\Andamento\PAD 006 - Contratação de Empresa para Prestação de Serviços Continuados de Vigilância Armada e Agente de Portaria para o COREN-AM\"/>
    </mc:Choice>
  </mc:AlternateContent>
  <xr:revisionPtr revIDLastSave="0" documentId="13_ncr:1_{E77E94D3-4E9F-45E2-8D7C-D7288540AF33}" xr6:coauthVersionLast="45" xr6:coauthVersionMax="45" xr10:uidLastSave="{00000000-0000-0000-0000-000000000000}"/>
  <bookViews>
    <workbookView xWindow="28680" yWindow="-120" windowWidth="20730" windowHeight="11160" tabRatio="752" xr2:uid="{00000000-000D-0000-FFFF-FFFF00000000}"/>
  </bookViews>
  <sheets>
    <sheet name="Quadro Geral" sheetId="12" r:id="rId1"/>
    <sheet name="Vigilante Patrimonial (Diurno)" sheetId="1" r:id="rId2"/>
    <sheet name="Vigilante Patrimonial (Noturno)" sheetId="11" r:id="rId3"/>
    <sheet name="Agente de Portaria" sheetId="14" r:id="rId4"/>
    <sheet name="Uniforme Vigilante" sheetId="6" r:id="rId5"/>
    <sheet name="Uniforme Agente de Portaria" sheetId="15" r:id="rId6"/>
    <sheet name="Manut. Depre. Munição Vigilante" sheetId="9" r:id="rId7"/>
    <sheet name="Manut. Depre. Agente Portaria" sheetId="16" r:id="rId8"/>
    <sheet name="Horas Extras" sheetId="17" r:id="rId9"/>
    <sheet name="Ag. Port. Serv. Extraodinário" sheetId="19" r:id="rId10"/>
  </sheets>
  <calcPr calcId="191029"/>
</workbook>
</file>

<file path=xl/calcChain.xml><?xml version="1.0" encoding="utf-8"?>
<calcChain xmlns="http://schemas.openxmlformats.org/spreadsheetml/2006/main">
  <c r="D70" i="19" l="1"/>
  <c r="D56" i="19"/>
  <c r="D46" i="19"/>
  <c r="D38" i="19"/>
  <c r="D27" i="19"/>
  <c r="D15" i="19"/>
  <c r="D92" i="14"/>
  <c r="D82" i="14"/>
  <c r="D74" i="14"/>
  <c r="D56" i="14"/>
  <c r="D49" i="14"/>
  <c r="D46" i="14"/>
  <c r="D38" i="14"/>
  <c r="D27" i="14"/>
  <c r="D15" i="14"/>
  <c r="D104" i="11"/>
  <c r="D102" i="11"/>
  <c r="D92" i="11"/>
  <c r="D77" i="11"/>
  <c r="D58" i="11"/>
  <c r="D48" i="11"/>
  <c r="D40" i="11"/>
  <c r="D29" i="11"/>
  <c r="D17" i="11"/>
  <c r="D100" i="1"/>
  <c r="D90" i="1"/>
  <c r="D75" i="1"/>
  <c r="D56" i="1"/>
  <c r="D46" i="1"/>
  <c r="D38" i="1"/>
  <c r="D27" i="1"/>
  <c r="D15" i="1"/>
  <c r="C59" i="19"/>
  <c r="C49" i="19"/>
  <c r="C59" i="14"/>
  <c r="C61" i="11"/>
  <c r="C49" i="14"/>
  <c r="C51" i="11"/>
  <c r="C59" i="1"/>
  <c r="C49" i="1"/>
  <c r="D59" i="19" l="1"/>
  <c r="D55" i="19"/>
  <c r="D54" i="19"/>
  <c r="D53" i="19"/>
  <c r="D49" i="19"/>
  <c r="D45" i="19"/>
  <c r="D44" i="19"/>
  <c r="D43" i="19"/>
  <c r="D42" i="19"/>
  <c r="D41" i="19"/>
  <c r="D37" i="19"/>
  <c r="D36" i="19"/>
  <c r="D35" i="19"/>
  <c r="D34" i="19"/>
  <c r="D33" i="19"/>
  <c r="D32" i="19"/>
  <c r="D31" i="19"/>
  <c r="D30" i="19"/>
  <c r="D26" i="19"/>
  <c r="D25" i="19"/>
  <c r="D24" i="19"/>
  <c r="D23" i="19"/>
  <c r="D22" i="19"/>
  <c r="D21" i="19"/>
  <c r="D20" i="19"/>
  <c r="D19" i="19"/>
  <c r="D59" i="14"/>
  <c r="D55" i="14"/>
  <c r="D54" i="14"/>
  <c r="D53" i="14"/>
  <c r="D45" i="14"/>
  <c r="D44" i="14"/>
  <c r="D43" i="14"/>
  <c r="D42" i="14"/>
  <c r="D41" i="14"/>
  <c r="D37" i="14"/>
  <c r="D36" i="14"/>
  <c r="D35" i="14"/>
  <c r="D34" i="14"/>
  <c r="D33" i="14"/>
  <c r="D32" i="14"/>
  <c r="D31" i="14"/>
  <c r="D30" i="14"/>
  <c r="D26" i="14"/>
  <c r="D25" i="14"/>
  <c r="D24" i="14"/>
  <c r="D22" i="14"/>
  <c r="D23" i="14"/>
  <c r="D21" i="14"/>
  <c r="D20" i="14"/>
  <c r="D19" i="14"/>
  <c r="D83" i="11"/>
  <c r="D61" i="11"/>
  <c r="D57" i="11"/>
  <c r="D56" i="11"/>
  <c r="D55" i="11"/>
  <c r="D51" i="11"/>
  <c r="D47" i="11"/>
  <c r="D46" i="11"/>
  <c r="D45" i="11"/>
  <c r="D44" i="11"/>
  <c r="D43" i="11"/>
  <c r="D39" i="11"/>
  <c r="D38" i="11"/>
  <c r="D37" i="11"/>
  <c r="D36" i="11"/>
  <c r="D35" i="11"/>
  <c r="D34" i="11"/>
  <c r="D33" i="11"/>
  <c r="D32" i="11"/>
  <c r="D28" i="11"/>
  <c r="D27" i="11"/>
  <c r="D26" i="11"/>
  <c r="D25" i="11"/>
  <c r="D24" i="11"/>
  <c r="D23" i="11"/>
  <c r="D22" i="11"/>
  <c r="D21" i="11"/>
  <c r="D16" i="11"/>
  <c r="D15" i="11"/>
  <c r="D14" i="11"/>
  <c r="D81" i="1"/>
  <c r="D59" i="1"/>
  <c r="D55" i="1"/>
  <c r="D54" i="1"/>
  <c r="D53" i="1"/>
  <c r="D49" i="1"/>
  <c r="D45" i="1"/>
  <c r="D44" i="1"/>
  <c r="D43" i="1"/>
  <c r="D42" i="1"/>
  <c r="D41" i="1"/>
  <c r="D37" i="1"/>
  <c r="D36" i="1"/>
  <c r="D35" i="1"/>
  <c r="D34" i="1"/>
  <c r="D33" i="1"/>
  <c r="D32" i="1"/>
  <c r="D31" i="1"/>
  <c r="D30" i="1"/>
  <c r="D26" i="1"/>
  <c r="D25" i="1"/>
  <c r="D24" i="1"/>
  <c r="D23" i="1"/>
  <c r="D22" i="1"/>
  <c r="D21" i="1"/>
  <c r="D20" i="1"/>
  <c r="D19" i="1"/>
  <c r="D14" i="1"/>
  <c r="B6" i="19"/>
  <c r="E13" i="19"/>
  <c r="D13" i="19"/>
  <c r="A22" i="15" l="1"/>
  <c r="A8" i="15"/>
  <c r="H14" i="15"/>
  <c r="H28" i="15"/>
  <c r="H21" i="15"/>
  <c r="A21" i="15"/>
  <c r="H7" i="15"/>
  <c r="D69" i="19" l="1"/>
  <c r="D67" i="19"/>
  <c r="D68" i="19" s="1"/>
  <c r="C88" i="19"/>
  <c r="C82" i="19"/>
  <c r="C78" i="19"/>
  <c r="C60" i="19"/>
  <c r="C56" i="19"/>
  <c r="C50" i="19"/>
  <c r="C46" i="19"/>
  <c r="C38" i="19"/>
  <c r="C27" i="19"/>
  <c r="D14" i="19"/>
  <c r="J8" i="16"/>
  <c r="H31" i="6"/>
  <c r="H16" i="6"/>
  <c r="H30" i="6"/>
  <c r="H15" i="6"/>
  <c r="D67" i="14"/>
  <c r="D68" i="14" s="1"/>
  <c r="D71" i="14"/>
  <c r="D70" i="14"/>
  <c r="C61" i="19" l="1"/>
  <c r="D60" i="19"/>
  <c r="D50" i="19"/>
  <c r="H32" i="6"/>
  <c r="D61" i="19" l="1"/>
  <c r="D63" i="19" s="1"/>
  <c r="D72" i="19" s="1"/>
  <c r="D76" i="19" l="1"/>
  <c r="D77" i="19" l="1"/>
  <c r="D78" i="19" s="1"/>
  <c r="D80" i="19" s="1"/>
  <c r="D82" i="19" s="1"/>
  <c r="D87" i="19" l="1"/>
  <c r="D86" i="19"/>
  <c r="D85" i="19"/>
  <c r="D88" i="19" l="1"/>
  <c r="D90" i="19" s="1"/>
  <c r="D93" i="19" s="1"/>
  <c r="D94" i="19" s="1"/>
  <c r="J4" i="17" l="1"/>
  <c r="L4" i="17" s="1"/>
  <c r="L5" i="17" s="1"/>
  <c r="D95" i="19"/>
  <c r="J9" i="17" s="1"/>
  <c r="L9" i="17" s="1"/>
  <c r="L10" i="17" s="1"/>
  <c r="J7" i="16"/>
  <c r="J6" i="16"/>
  <c r="J11" i="9"/>
  <c r="J10" i="9"/>
  <c r="J9" i="9"/>
  <c r="J12" i="9"/>
  <c r="J14" i="9" s="1"/>
  <c r="J15" i="9" s="1"/>
  <c r="H27" i="6"/>
  <c r="H12" i="6"/>
  <c r="L11" i="17" l="1"/>
  <c r="L12" i="17" s="1"/>
  <c r="J10" i="12" s="1" a="1"/>
  <c r="J10" i="12" s="1"/>
  <c r="J11" i="12" s="1"/>
  <c r="K10" i="12" a="1"/>
  <c r="J5" i="16"/>
  <c r="J4" i="16"/>
  <c r="A5" i="16"/>
  <c r="A6" i="16" s="1"/>
  <c r="A7" i="16" s="1"/>
  <c r="A19" i="15"/>
  <c r="A20" i="15" s="1"/>
  <c r="A23" i="15" s="1"/>
  <c r="A24" i="15" s="1"/>
  <c r="H27" i="15"/>
  <c r="H26" i="15"/>
  <c r="H25" i="15"/>
  <c r="H24" i="15"/>
  <c r="H23" i="15"/>
  <c r="H22" i="15"/>
  <c r="H20" i="15"/>
  <c r="H19" i="15"/>
  <c r="H18" i="15"/>
  <c r="H29" i="15" s="1"/>
  <c r="H13" i="15"/>
  <c r="H12" i="15"/>
  <c r="H11" i="15"/>
  <c r="H10" i="15"/>
  <c r="H9" i="15"/>
  <c r="H8" i="15"/>
  <c r="H6" i="15"/>
  <c r="H5" i="15"/>
  <c r="A5" i="15"/>
  <c r="A6" i="15" s="1"/>
  <c r="H4" i="15"/>
  <c r="K10" i="12" l="1"/>
  <c r="K11" i="12" s="1"/>
  <c r="A9" i="15"/>
  <c r="A10" i="15" s="1"/>
  <c r="A11" i="15" s="1"/>
  <c r="A12" i="15" s="1"/>
  <c r="A13" i="15" s="1"/>
  <c r="A7" i="15"/>
  <c r="H15" i="15"/>
  <c r="J9" i="16"/>
  <c r="A25" i="15"/>
  <c r="A26" i="15" s="1"/>
  <c r="A27" i="15" s="1"/>
  <c r="G7" i="12"/>
  <c r="I7" i="12"/>
  <c r="C92" i="14"/>
  <c r="C86" i="14"/>
  <c r="C82" i="14"/>
  <c r="C60" i="14"/>
  <c r="C56" i="14"/>
  <c r="C50" i="14"/>
  <c r="C46" i="14"/>
  <c r="C38" i="14"/>
  <c r="C27" i="14"/>
  <c r="D14" i="14"/>
  <c r="C96" i="11"/>
  <c r="C94" i="1"/>
  <c r="J10" i="16" l="1"/>
  <c r="J11" i="16" s="1"/>
  <c r="D73" i="14" s="1"/>
  <c r="H30" i="15"/>
  <c r="D72" i="14" s="1"/>
  <c r="C61" i="14"/>
  <c r="D60" i="14" l="1"/>
  <c r="D50" i="14"/>
  <c r="D61" i="14" l="1"/>
  <c r="D63" i="14" s="1"/>
  <c r="D76" i="14" s="1"/>
  <c r="D80" i="14" l="1"/>
  <c r="D81" i="14" l="1"/>
  <c r="D84" i="14" s="1"/>
  <c r="C102" i="11"/>
  <c r="C92" i="11"/>
  <c r="D72" i="11"/>
  <c r="D71" i="11"/>
  <c r="D69" i="11"/>
  <c r="D70" i="11" s="1"/>
  <c r="C62" i="11"/>
  <c r="C58" i="11"/>
  <c r="C52" i="11"/>
  <c r="C48" i="11"/>
  <c r="C40" i="11"/>
  <c r="C29" i="11"/>
  <c r="J20" i="9"/>
  <c r="J13" i="9"/>
  <c r="J8" i="9"/>
  <c r="J7" i="9"/>
  <c r="J6" i="9"/>
  <c r="J5" i="9"/>
  <c r="J4" i="9"/>
  <c r="H29" i="6"/>
  <c r="H28" i="6"/>
  <c r="H26" i="6"/>
  <c r="H25" i="6"/>
  <c r="H24" i="6"/>
  <c r="H23" i="6"/>
  <c r="H22" i="6"/>
  <c r="H21" i="6"/>
  <c r="H20" i="6"/>
  <c r="A20" i="6"/>
  <c r="A21" i="6" s="1"/>
  <c r="H19" i="6"/>
  <c r="H14" i="6"/>
  <c r="H13" i="6"/>
  <c r="A5" i="6"/>
  <c r="A6" i="6" s="1"/>
  <c r="A7" i="6" s="1"/>
  <c r="H11" i="6"/>
  <c r="H10" i="6"/>
  <c r="H9" i="6"/>
  <c r="H8" i="6"/>
  <c r="H7" i="6"/>
  <c r="D69" i="1"/>
  <c r="D67" i="1"/>
  <c r="D68" i="1" s="1"/>
  <c r="D86" i="14" l="1"/>
  <c r="A22" i="6"/>
  <c r="A23" i="6" s="1"/>
  <c r="A24" i="6" s="1"/>
  <c r="A25" i="6" s="1"/>
  <c r="A26" i="6" s="1"/>
  <c r="C63" i="11"/>
  <c r="D84" i="11"/>
  <c r="A8" i="6"/>
  <c r="A9" i="6" s="1"/>
  <c r="A10" i="6" s="1"/>
  <c r="A11" i="6" s="1"/>
  <c r="A12" i="6" s="1"/>
  <c r="A13" i="6" s="1"/>
  <c r="D62" i="11" l="1"/>
  <c r="D89" i="14"/>
  <c r="D90" i="14"/>
  <c r="D91" i="14"/>
  <c r="A27" i="6"/>
  <c r="A28" i="6" s="1"/>
  <c r="A29" i="6" s="1"/>
  <c r="A14" i="6"/>
  <c r="D52" i="11"/>
  <c r="D70" i="1"/>
  <c r="D82" i="1" l="1"/>
  <c r="J16" i="9"/>
  <c r="A5" i="9"/>
  <c r="A6" i="9" s="1"/>
  <c r="A7" i="9" s="1"/>
  <c r="A8" i="9" s="1"/>
  <c r="A9" i="9" s="1"/>
  <c r="A10" i="9" s="1"/>
  <c r="H6" i="6"/>
  <c r="H5" i="6"/>
  <c r="H4" i="6"/>
  <c r="D63" i="11" l="1"/>
  <c r="D65" i="11" s="1"/>
  <c r="D94" i="14"/>
  <c r="A11" i="9"/>
  <c r="A12" i="9" s="1"/>
  <c r="A13" i="9" s="1"/>
  <c r="J17" i="9"/>
  <c r="J21" i="9" s="1"/>
  <c r="D74" i="1" s="1"/>
  <c r="C100" i="1"/>
  <c r="C90" i="1"/>
  <c r="C60" i="1"/>
  <c r="C56" i="1"/>
  <c r="C50" i="1"/>
  <c r="C46" i="1"/>
  <c r="C38" i="1"/>
  <c r="C27" i="1"/>
  <c r="H6" i="12" l="1"/>
  <c r="J6" i="12" s="1"/>
  <c r="D95" i="14"/>
  <c r="D76" i="11"/>
  <c r="D75" i="11"/>
  <c r="D73" i="1"/>
  <c r="C61" i="1"/>
  <c r="D50" i="1"/>
  <c r="D60" i="1"/>
  <c r="K6" i="12" l="1"/>
  <c r="D61" i="1" l="1"/>
  <c r="D63" i="1" s="1"/>
  <c r="D79" i="11"/>
  <c r="D86" i="11" s="1"/>
  <c r="D90" i="11" s="1"/>
  <c r="D91" i="11" l="1"/>
  <c r="D94" i="11" s="1"/>
  <c r="D96" i="11" s="1"/>
  <c r="D77" i="1"/>
  <c r="D84" i="1" s="1"/>
  <c r="D101" i="11" l="1"/>
  <c r="D99" i="11"/>
  <c r="D100" i="11"/>
  <c r="D88" i="1"/>
  <c r="D89" i="1" s="1"/>
  <c r="D92" i="1" s="1"/>
  <c r="D94" i="1" s="1"/>
  <c r="H5" i="12" l="1"/>
  <c r="J5" i="12" s="1"/>
  <c r="K5" i="12" s="1"/>
  <c r="D97" i="1"/>
  <c r="D99" i="1"/>
  <c r="D98" i="1"/>
  <c r="D105" i="11" l="1"/>
  <c r="D106" i="11" s="1"/>
  <c r="D102" i="1"/>
  <c r="D103" i="1" s="1"/>
  <c r="D104" i="1" s="1"/>
  <c r="H4" i="12" l="1"/>
  <c r="J4" i="12" l="1"/>
  <c r="J7" i="12" s="1"/>
  <c r="J13" i="12" s="1"/>
  <c r="J14" i="12" s="1"/>
  <c r="H7" i="12"/>
  <c r="K4" i="12" l="1"/>
  <c r="K7" i="12" s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<sst xmlns="http://schemas.openxmlformats.org/spreadsheetml/2006/main" count="924" uniqueCount="273">
  <si>
    <t>PLANILHA ORÇAMENTÁRIA DE REFERÊNCIA DE FORMAÇÃO DE CUSTO DE MÃO DE OBRA</t>
  </si>
  <si>
    <t>Posto</t>
  </si>
  <si>
    <t>Unidade de medida:</t>
  </si>
  <si>
    <t>Tipo de serviço:</t>
  </si>
  <si>
    <t>Quantidade total a contratar (em função da unidade de medida):</t>
  </si>
  <si>
    <t>MÃO DE OBRA VINCULADA À EXECUÇÃO CONTRATUAL</t>
  </si>
  <si>
    <t>Composição da Remuneração</t>
  </si>
  <si>
    <t>%</t>
  </si>
  <si>
    <t>Valor (R$)</t>
  </si>
  <si>
    <t>Salário Base</t>
  </si>
  <si>
    <t>Adicional de Periculosidade</t>
  </si>
  <si>
    <t>Lucro</t>
  </si>
  <si>
    <t>Art. 2°, § 3º, da Lei 11.457, de 16 de março de 2007.</t>
  </si>
  <si>
    <t>Art. 15, Lei nº 8.036/90 e Art. 7º, III, CF.</t>
  </si>
  <si>
    <t>Art. 30, Lei 8.036, de 11 de maio de 1990.</t>
  </si>
  <si>
    <t>Art. 1º, caput, Decreto-Lei 6.246, de 1944 (SENAI) e art. 4º, caput do Decreto-Lei 8.621, de 1946. (SENAC).</t>
  </si>
  <si>
    <t>Art. 1°, I, 2 c/c art. 3°, ambos do Decreto-Lei 1.146, de 31 de dezembro de 1970.</t>
  </si>
  <si>
    <t>Art. 8º, Lei 8.029, de 12 de abril de 1990.</t>
  </si>
  <si>
    <t>Art. 3º, Inciso I, Decreto 87.043, de 22 de março de 1982.</t>
  </si>
  <si>
    <t>RAT: 3% (Serviços combinados para apoio a edifícios – código 8111-7/00, do Anexo V do Decreto nº 3.048/1999) X
FAP: 2,000 (Padrão);</t>
  </si>
  <si>
    <t>[(1/12)x100] = 8,333% - Art. 7º, VIII, CF/88</t>
  </si>
  <si>
    <t>[(1/12]x100] = 8,333% - Art. 7º, XVII, CF/88</t>
  </si>
  <si>
    <t>FUNDAMENTO/METODOLOGIA</t>
  </si>
  <si>
    <t>II - ENCARGOS SOCIAIS INCIDENTES SOBRE A REMUNERAÇÃO (R$)</t>
  </si>
  <si>
    <t>I - COMPOSIÇÃO DA REMUNERAÇÃO (R$)</t>
  </si>
  <si>
    <t>GRUPO A - ENCARGOS</t>
  </si>
  <si>
    <t>A.01 SEGURIDADE SOCIAL</t>
  </si>
  <si>
    <t>A.02 FGTS</t>
  </si>
  <si>
    <t>A.03 SESI/SESC</t>
  </si>
  <si>
    <t>A.04 SENAI/SENAC</t>
  </si>
  <si>
    <t>A.05 INCRA</t>
  </si>
  <si>
    <t>A.06 SEBRAE</t>
  </si>
  <si>
    <t>A.07 Salário Educação</t>
  </si>
  <si>
    <t>A.08 Riscos Ambientais do Trabalho – RAT x FAP</t>
  </si>
  <si>
    <t>TOTAL - GRUPO A - ENCARGOS</t>
  </si>
  <si>
    <t>TOTAL DA REMUNERAÇÃO (R$)</t>
  </si>
  <si>
    <t>GRUPO B</t>
  </si>
  <si>
    <t>B.01 13º Salário</t>
  </si>
  <si>
    <t>B.02 Férias (sem o abono de 1/3)</t>
  </si>
  <si>
    <t>B.03 Aviso Prévio Trabalhado</t>
  </si>
  <si>
    <t>B.04 Auxílio Doença</t>
  </si>
  <si>
    <t>B.05 Acidente de Trabalho</t>
  </si>
  <si>
    <t>B.06 Faltas Legais</t>
  </si>
  <si>
    <t>B.07 Férias sobre Licença Maternidade</t>
  </si>
  <si>
    <t>B.08 Licença Paternidade</t>
  </si>
  <si>
    <t>TOTAL - GRUPO B</t>
  </si>
  <si>
    <t>[(100% / 30) x 7] / 12 = 1,944% - Art. 7º, XXI, CF/88, 477, 487 e ss. da CLT</t>
  </si>
  <si>
    <t>(Benefícios de auxílio doença urbano/ População Economicamente Ativa Ocupada) / 12 = 0,222% - Art. 59 e ss. Da Lei nº 8.213/91</t>
  </si>
  <si>
    <t>{[(100% /30) x 15] / 12} x (nºCAT/População INSS CAT) = 0,051% - Art. 19 a 23 da Lei nº 8.213/91</t>
  </si>
  <si>
    <t>[(100% / 30) x 1,4947] / 12 = 0,415% - Art. 473 da CLT</t>
  </si>
  <si>
    <t>[(8,333% x 1,416% x 4/12) x 100] = 0,039% - Impacto do item férias sobre a licença maternidade</t>
  </si>
  <si>
    <t>{[(100% /30) x 5] / 12} x 1,416% = 0,020% - Art. 7º, XIX, CF/88 e 10, §1º, da ADCT</t>
  </si>
  <si>
    <t>INFORMAÇÕES COMPLEMENTARES</t>
  </si>
  <si>
    <t>GRUPO C</t>
  </si>
  <si>
    <t>C.01 Aviso Prévio Indenizado</t>
  </si>
  <si>
    <t>C.02 Indenização Adicional</t>
  </si>
  <si>
    <t>C.03 Indenização (rescisão sem justa causa – multa de 40% do FGTS)</t>
  </si>
  <si>
    <t>TOTAL - GRUPO C</t>
  </si>
  <si>
    <t>{[0,05x(1/12)]x100} = 0,417% - Art. 7º, XXI, CF/88, 477, 487 e ss. CLT</t>
  </si>
  <si>
    <t>[1/12 x 3,4275%] = 0,286% - Art. 9º da Lei nº 7.238, de 1984</t>
  </si>
  <si>
    <t>(1x0,40x0,08x100) = 3,200% - Art. 18, §1º da Lei 8.036/90</t>
  </si>
  <si>
    <t>[(1/3)/12x100] = 2,778% - Art. 7º, XVII, CF/88</t>
  </si>
  <si>
    <t>{[(1/3)/12]x0,02x(4/12) x100]} = 0,013% - Art. 7º, XVII, CF/88</t>
  </si>
  <si>
    <t>GRUPO D</t>
  </si>
  <si>
    <t>D.01 Incidência dos encargos do grupo A sobre o grupo B</t>
  </si>
  <si>
    <t>TOTAL - GRUPO D</t>
  </si>
  <si>
    <t>GRUPO E</t>
  </si>
  <si>
    <t>E.01 Incidência do FGTS sobre o aviso prévio indenizado</t>
  </si>
  <si>
    <t>E.02 Incidência do FGTS sobre o período médio de afastamento superior a 15 dias motivado por acidente do trabalho</t>
  </si>
  <si>
    <t>E.03 Incidência de FGTS sobre férias 1/3 constitucional</t>
  </si>
  <si>
    <t>TOTAL - GRUPO E</t>
  </si>
  <si>
    <t>A.02 x C.01 = (0,08x0,00417)x100 0,033% - Súmula nº 305 do TST</t>
  </si>
  <si>
    <t>E.02 - Estimativa de que 8% (oito por cento) dos empregados sofrem acidentes durante o ano, com ausência média de 30 dias durante o ano. O percentual do FGTS (8%) será aplicado somente sobre os 15 dias restantes do afastamento, porque os 15 primeiros dias já foram calculados no item B.05.</t>
  </si>
  <si>
    <t>GRUPO F</t>
  </si>
  <si>
    <t>F.01 Incidência dos encargos do Grupo A sobre os valores constantes da base de cálculo referente ao salário maternidade</t>
  </si>
  <si>
    <t>TOTAL - GRUPO F</t>
  </si>
  <si>
    <t>TOTAL - ENCARGOS SOCIAIS (R$)</t>
  </si>
  <si>
    <t>VALOR TOTAL DE REMUNERAÇÃO + ENCARGOS SOCIAIS (R$)</t>
  </si>
  <si>
    <t>III - INSUMOS</t>
  </si>
  <si>
    <t>Insumos</t>
  </si>
  <si>
    <t>Uniforme</t>
  </si>
  <si>
    <t>Vale transporte</t>
  </si>
  <si>
    <t>Desconto legal sobre transporte (máximo 6% do salário-base)</t>
  </si>
  <si>
    <t>TOTAL - INSUMOS (R$)</t>
  </si>
  <si>
    <t>OBSERVAÇÃO</t>
  </si>
  <si>
    <t>TOTAL DE REMUNERAÇÃO + ENCARGOS SOCIAIS + INSUMOS (R$)</t>
  </si>
  <si>
    <t>LUCRO E DESPESAS INDIRETAS (LDI)</t>
  </si>
  <si>
    <t>Despesas Administrativas/Operacionais</t>
  </si>
  <si>
    <t>TOTAL - LUCRO E DESPESAS INDIRETAS</t>
  </si>
  <si>
    <t>TRIBUTAÇÃO SOBRE FATURAMENTO</t>
  </si>
  <si>
    <t>ISS</t>
  </si>
  <si>
    <t>COFINS</t>
  </si>
  <si>
    <t>PIS</t>
  </si>
  <si>
    <t>TOTAL - TRIBUTAÇÃO SOBRE FATURAMENTO</t>
  </si>
  <si>
    <t>PREÇO MENSAL PARA 1 (UM) EMPREGADO (R$)</t>
  </si>
  <si>
    <t>Os tributos (ISS, COFINS e PIS) foram definidos utilizando o regime de tributação de Lucro PRESUMIDO. A licitante deve elaborar sua proposta e, por conseguinte, sua planilha com base no regime de tributação ao qual estará submetida durante a execução do contrato.</t>
  </si>
  <si>
    <t>Item</t>
  </si>
  <si>
    <t>-</t>
  </si>
  <si>
    <t>Descrição</t>
  </si>
  <si>
    <t>Unidade de Medida</t>
  </si>
  <si>
    <t>Und.</t>
  </si>
  <si>
    <t>Par</t>
  </si>
  <si>
    <t>Qtde. Anual
(a)</t>
  </si>
  <si>
    <t>Valor Médio Unitário (R$)
(b)</t>
  </si>
  <si>
    <t>Custo Total (R$)
(c = a x b)</t>
  </si>
  <si>
    <t>Quant. Total (a)</t>
  </si>
  <si>
    <t>Uni.</t>
  </si>
  <si>
    <t>CBO:</t>
  </si>
  <si>
    <t>Convenção Coletiva de Trabalho/Acordo/ Dissídio Coletivo de Trabalho:</t>
  </si>
  <si>
    <t>Vale Refeição</t>
  </si>
  <si>
    <t>FONTE DO VALOR MÉDIO UNITÁRIO</t>
  </si>
  <si>
    <t>BASE DE CÁLCULO PARA TRIBUTO</t>
  </si>
  <si>
    <t>5173-30</t>
  </si>
  <si>
    <t>Vigilante Patrimonial 12x36 (Diurno)</t>
  </si>
  <si>
    <t>Cláusula Quarta, Parágrafo Primeiro, da CCT com Registro no MTE de AM000070/2020 - Data de Registro no MTE: 14/02/2020.</t>
  </si>
  <si>
    <t>Intrajornada</t>
  </si>
  <si>
    <t>{[(Salário + Adc. Periculosidade) / 192] x 1,50} x 15 dias - Cláusula Quadragésima Nona e Cláusula Quinquagésima Terceira, Parágrafo Primeiro, da CCT com Registro no MTE de AM000070/2020 - Data de Registro no MTE: 14/02/2020.</t>
  </si>
  <si>
    <t>Cláusula Sexagésima Oitava, da CCT com Registro no MTE de AM000070/2020 - Data de Registro no MTE: 14/02/2020.</t>
  </si>
  <si>
    <t>RAT: 3% (Atividades de vigilância – código 8011-1/01, do Anexo V do Decreto nº 3.048/1999) X
FAP: 2,000 (Padrão);</t>
  </si>
  <si>
    <t>Vale refeição: O valor do vale refeição foi calculado de acordo com a convenção coletiva de trabalho firmada entre os sindicatos das categorias profissionais e econômicas envolvidas na prestação dos serviços ora licitados.
Vale refeição = valor diário x 15
Onde: 
O valor diário é R$ 24,00, conforme Cláusula Décima Oitava, da CCT com Registro no MTE de AM000070/2020 - Data de Registro no MTE: 14/02/2020.
O 15 é o número médio de dias efetivamente trabalhado pelos empregados no mês.</t>
  </si>
  <si>
    <t>O vale transporte foi baseado no preço da passagem praticada na cidade de Manaus-AM (R$ 3,80), considerando o trajeto de ida e volta residência/Coren-AM.
Vale transporte = VTx2x15</t>
  </si>
  <si>
    <t>Dedução legal do vale transporte: O valor da dedução do vale transporte está de acordo com o art. 4º, parágrafo único da Lei 7.418, de 16 de dezembro de 1985 e Cláusula Décima Nona, Parágrafo Terceiro, da CCT com Registro no MTE de AM000070/2020  (desconto máximo de 6% do salário-base).</t>
  </si>
  <si>
    <t>Plano de Saúde</t>
  </si>
  <si>
    <t>O valor do plano de saúde foi baseado com base na Cláusula Vigésima, Parágrafo Sexto da CCT com Registro no MTE de AM000070/2020 - Data de Registro no MTE: 14/02/2020.</t>
  </si>
  <si>
    <t>Desconto sobre o vale refeição (máximo 5% do vale refeição)</t>
  </si>
  <si>
    <t>Desconto legal sobre plano de saúde (máximo R$ 1,00 do plano)</t>
  </si>
  <si>
    <t>Dedução legal do plano de saúde: O valor da dedução do plano de saúde está de acordo com a Cláusula Décima Vigésima, Parágrafo Terceiro, da CCT com Registro no MTE de AM000070/2020  (desconto máximo de R$ 1,00).</t>
  </si>
  <si>
    <t>Vigilante Patrimonial 12x36 (Diurno/Noturno) - UNIFORME</t>
  </si>
  <si>
    <t>FEMININO</t>
  </si>
  <si>
    <t>Jaqueta</t>
  </si>
  <si>
    <t>Calça</t>
  </si>
  <si>
    <t>Camisa</t>
  </si>
  <si>
    <t>Fiel duplo</t>
  </si>
  <si>
    <t>Cinto</t>
  </si>
  <si>
    <t>Meias</t>
  </si>
  <si>
    <t>Sapato</t>
  </si>
  <si>
    <t>Capa de chuva</t>
  </si>
  <si>
    <t>Crachá</t>
  </si>
  <si>
    <t>MASCULINO</t>
  </si>
  <si>
    <t>Cinto Masculino</t>
  </si>
  <si>
    <t>Custo Global Feminino (R$) (∑ do Custo Total) →</t>
  </si>
  <si>
    <t>Revólver calibre 38</t>
  </si>
  <si>
    <t>Coldre de couro axilar</t>
  </si>
  <si>
    <t>Baleiro</t>
  </si>
  <si>
    <t>Livro de ocorrências</t>
  </si>
  <si>
    <t>Lanterna recarregável</t>
  </si>
  <si>
    <t>NOTA MANUTENÇÃO DOS EQUIPAMENTOS</t>
  </si>
  <si>
    <t>NOTA DEPRECIAÇÃO DOS EQUIPAMENTOS</t>
  </si>
  <si>
    <t>Para o cálculo do insumo Depreciação de Equipamentos, adotou-se vida útil de 8 anos e valor residual de 20%, com base no Manual de Custos Rodoviários do DNIT, volume 1, de 2003.</t>
  </si>
  <si>
    <t>Vigilante Patrimonial 12x36 (Diurno/Noturno) - EQUIPAMENTO e MUNIÇÃO</t>
  </si>
  <si>
    <t>EQUIPAMENTO</t>
  </si>
  <si>
    <t>MUNIÇÃO</t>
  </si>
  <si>
    <t>Munição calibre 38</t>
  </si>
  <si>
    <t>Blister c/10</t>
  </si>
  <si>
    <t>Manutenção, depreciação de equipamentos e munição</t>
  </si>
  <si>
    <t>NOTA DA QUANTIDADE TODAL</t>
  </si>
  <si>
    <t>PREÇO ANUAL PARA 1 (UM) POSTO (R$) - PREÇO MENSAL X 12 MESES</t>
  </si>
  <si>
    <t>TOTAL DE REMUNERAÇÃO + ENCARGOS SOCIAIS + INSUMOS + INTRAJORNADA (R$)</t>
  </si>
  <si>
    <t>IV - INTRAJORNADA</t>
  </si>
  <si>
    <t>TOTAL - INTRAJORNADA (R$)</t>
  </si>
  <si>
    <t>V - LDI E TRIBUTAÇÃO</t>
  </si>
  <si>
    <t>TOTAL DE REMUNERAÇÃO + ENCARGOS SOCIAIS + INSUMOS + INTRAJORNADA + LDI (R$)</t>
  </si>
  <si>
    <t>Vigilante Patrimonial 12x36 (Noturno)</t>
  </si>
  <si>
    <t>Adicional Noturno</t>
  </si>
  <si>
    <t>Hora Noturna Reduzida</t>
  </si>
  <si>
    <t>Valor do Adicional Noturno (mensal) = {[8h x (7 dias x 4,286 semanas por mês) x Adicional Noturno por Hora] / 2},
Onde: 2 = número de vigilantes.
Adicional Noturno (por hora) = {[(Salário Base + Adicional de Periculosidade) / 192 h] x (20%)}
Cláusula Quinquagésima Terceira, Parágrafo Primeiro e Parágrafo Terceiro da CCT com Registro no MTE de AM000070/2020 - Data de Registro no MTE: 14/02/2020.</t>
  </si>
  <si>
    <t>{[(Salário + Adc. Periculosidade + Adc. Noturno) / 192] x 1,50} x 15 dias - Cláusula Quadragésima Nona e Cláusula Quinquagésima Terceira, Parágrafo Primeiro, da CCT com Registro no MTE de AM000070/2020 - Data de Registro no MTE: 14/02/2020.</t>
  </si>
  <si>
    <t>{[(Salário + Adc. Periculosidade + Adc. Noturno) / 192] x 1,50} x 15 dias - Cláusula Quinquagésima Terceira, Parágrafo Primeiro e Parágrafo Segundo da CCT com Registro no MTE de AM000070/2020 - Data de Registro no MTE: 14/02/2020.</t>
  </si>
  <si>
    <t>Subitem</t>
  </si>
  <si>
    <t>EMPREGADO</t>
  </si>
  <si>
    <t>1.1</t>
  </si>
  <si>
    <t>1.2</t>
  </si>
  <si>
    <t>QUADRO GERAL</t>
  </si>
  <si>
    <t>1.3</t>
  </si>
  <si>
    <t>5174-15</t>
  </si>
  <si>
    <t>PREÇO MENSAL PARA 1 (UM) POSTO COM 2 (DOIS) EMPREGADOS (R$) - PREÇO MENSAL X  2 EMPREGADOS</t>
  </si>
  <si>
    <t>Outros</t>
  </si>
  <si>
    <t>Cesta Básica</t>
  </si>
  <si>
    <t>Conforme planilha de Uniforme Agente de Portaria</t>
  </si>
  <si>
    <t>Conforme planilha de Uniforme Vigilante</t>
  </si>
  <si>
    <t>Vigilante Patrimonial 12x36 - Diurno</t>
  </si>
  <si>
    <t>Vigilante Patrimonial 12x36 - Noturno</t>
  </si>
  <si>
    <t>Manutenção, depreciação de equipamentos</t>
  </si>
  <si>
    <t>Conforme planilha de Manutenção, Depreciação e Munição Vigilante</t>
  </si>
  <si>
    <t>Conforme planilha de Manutenção, Depreciação Agente de Portaria</t>
  </si>
  <si>
    <t>Pregão Eletrônico - PE n.º 408/2019 - Fundação Universidade do Amazonas - UASG 154039</t>
  </si>
  <si>
    <t>Pregão Eletrônico - PE n.º 005/2020 - Tribunal de Contas da União (TCU) - UASG 30001</t>
  </si>
  <si>
    <t>C.04 Abono de Férias - 1/3 constitucional</t>
  </si>
  <si>
    <t>C.05 Abono de Férias - 1/3 constitucional sobre licença maternidade</t>
  </si>
  <si>
    <t>Dedução legal do vale refeição: O valor da dedução do vale refeição está de acordo com a Cláusula Décima Oitava, Parágrafo Terceiro, da CCT com Registro no MTE de AM000070/2020 - Data de Registro no MTE: 14/02/2020 (desconto máximo de 5% do Vale Refeição).</t>
  </si>
  <si>
    <t>B.03 - Redução de 7 dias ou de 2h por dia para 100 % dos empregados. Percentual relativo a contrato de 12 (doze) meses.
B.04 - De acordo com dados do MTPS, foram concedidos 1.462.463 benefícios de auxílio doença urbano no ano de 2013 em uma população de contribuintes para o INSS de 54.796.761 pessoas (http://www.mtps.gov.br/dados-abertos/dados-da-previdencia/previdencia-social-e- INSS/boletim-estatístico-da-previdência-social-beps).
B.05 - Estimativa de 1 licença de 15 dias por ano para 1,22% dos empregados. Esta taxa foi obtida pela proporção de acidentes de trabalho registrados, 717.911, conforme dados do Anuário Estatístico da Previdência Social – AEPS/2013, em relação a 58.981.000 de trabalhadores que fazem jus a emissão da CAT (trabalhadores com carteira assinada, outros tipos de trabalhadores e domésticas), conforme dados da PNAD 2013.
B.06 - Estimativa de 1,4947 ausências por ano, de acordo com a IN 2/2008-MPOG.
B.07 - Estimativa de 1,416% (taxa de natalidade da população brasileira/IBGE) de empregadas usufruindo 4 meses de licença por ano.
B.08 - Estimativa de 1,416% (taxa de natalidade da população brasileira/IBGE) dos empregados usufruindo 5 dias da licença por ano.</t>
  </si>
  <si>
    <t>Boné</t>
  </si>
  <si>
    <t>Cassetete</t>
  </si>
  <si>
    <t>Porta Cassetete</t>
  </si>
  <si>
    <t>Radio Intercomunicador Completo (com bateria e carregador)</t>
  </si>
  <si>
    <t>Painel de Preços</t>
  </si>
  <si>
    <t>Agente de Portaria 12x36 - EQUIPAMENTO</t>
  </si>
  <si>
    <t>A.02 x B.05 (0,08x0,0051)x100 0,0004% - Lei 8.036, de 1990, art. 15, §5º</t>
  </si>
  <si>
    <t>A.02 x C.04 (0,08x0,02778)x100 0,222% - Lei 8.036, de 1990, art. 15, §5º</t>
  </si>
  <si>
    <t>A.02 x B.05 (0,08x0,0051)x100 0,004% - Lei 8.036, de 1990, art. 15, §5º</t>
  </si>
  <si>
    <t>Agente de Portaria 44hrs Semanais</t>
  </si>
  <si>
    <t>O vale transporte foi baseado no preço da passagem praticada na cidade de Manaus-AM (R$ 3,80), considerando o trajeto de ida e volta residência/Coren-AM.
Vale transporte = VTx2x22</t>
  </si>
  <si>
    <t>IV - LDI E TRIBUTAÇÃO</t>
  </si>
  <si>
    <t>TOTAL DE REMUNERAÇÃO + ENCARGOS SOCIAIS + INSUMOS + LDI (R$)</t>
  </si>
  <si>
    <t>Custo Global Masculino (R$) (∑ do Custo Total) →</t>
  </si>
  <si>
    <t>Agente de Portaria 44hrs Semanais - UNIFORME</t>
  </si>
  <si>
    <t>Valor do insumo Manutenção de Equipamentos foi obtido adotando-se a metodologia das Tabelas de Composições de Preços para Orçamentação, publicação da Editora Pini, para equipamentos de pequeno porte (aproximadamente 1,5HP), com utilização, em média, de 83h/mês, em conjunto com o Manual de Custos Rodoviários do DNIT, Volume 1, de 2003:
K = 0,6 (conforme adotado pelo Sicro2 /DNIT – Manual de Custos Rodoviários –
Volume 1, página 83);
VU = Vida Útil = 10.000 horas
V0 = Valor de aquisição do equipamento</t>
  </si>
  <si>
    <t>PREVISÃO DE HORAS EXTRAS</t>
  </si>
  <si>
    <t>A - ESTIMATIVA DE HORAS EXTRAORDINARIAS ANUAL - SABADO E DIAS ÚTEIS</t>
  </si>
  <si>
    <t>Categoria Profissional</t>
  </si>
  <si>
    <t>Qtde. de Profissionais -a</t>
  </si>
  <si>
    <t>Qtde. de Horas Extras - b</t>
  </si>
  <si>
    <t>Valor da Hora Extra (R$) - c</t>
  </si>
  <si>
    <t>Custo (R$) - d = a x b x c</t>
  </si>
  <si>
    <t>Agente de Portaria</t>
  </si>
  <si>
    <t>TOTAL - A (R$)</t>
  </si>
  <si>
    <t>B - ESTIMATIVA DE HORAS EXTRAORDINARIAS ANUAL - DOMINGOS E FERIADOS</t>
  </si>
  <si>
    <t>TOTAL - B (R$)</t>
  </si>
  <si>
    <t>C - CUSTO ANUAL COM HORAS EXTRAS (A+B)</t>
  </si>
  <si>
    <t>PLANILHA ORÇAMENTÁRIA DE REFERÊNCIA DE FORMAÇÃO DE CUSTO DE SERVIÇO EXTRAODINÁRIO</t>
  </si>
  <si>
    <t>O vale transporte foi baseado no preço da passagem praticada na cidade de Manaus-AM (R$ 3,80), considerando o trajeto de ida e volta residência/Coren-AM.
Vale transporte = VTx2x4</t>
  </si>
  <si>
    <t>VALORES - SERVIÇO EXTRAORDINÁRIO</t>
  </si>
  <si>
    <t>PREÇO HOMEM HORA DE 1 (UM) EMPREGADO (R$)</t>
  </si>
  <si>
    <t>HOMEM-HORA A 100% (R$)</t>
  </si>
  <si>
    <t>CUSTOS FIXOS</t>
  </si>
  <si>
    <t>2.0</t>
  </si>
  <si>
    <t>CUSTO VARIÁVEL</t>
  </si>
  <si>
    <t>2.1</t>
  </si>
  <si>
    <t>Horas Extras</t>
  </si>
  <si>
    <t>CCT 2020/2021 - N.º Registro no MTE: AM000147/2020 - Data de Registro no MTE: 22/04/2020.</t>
  </si>
  <si>
    <t>Cláusula Terceira, da CCT com Registro no MTE: AM000147/2020 - Data de Registro no MTE: 22/04/2020.</t>
  </si>
  <si>
    <t>Vale refeição: O valor do vale refeição foi calculado de acordo com a convenção coletiva de trabalho firmada entre os sindicatos das categorias profissionais e econômicas envolvidas na prestação dos serviços ora licitados.
Vale refeição = valor diário x 22
Onde: 
O valor diário é R$ 19,00, conforme Cláusula Nona, da CCT com Registro no MTE: AM000147/2020 - Data de Registro no MTE: 22/04/2020.
O 22 é o número médio de dias efetivamente trabalhado pelos empregados no mês.</t>
  </si>
  <si>
    <t>Dedução legal do vale refeição: O valor da dedução do vale refeição está de acordo com a Cláusula Nona, da CCT com Registro no MTE: AM000147/2020 - Data de Registro no MTE: 22/04/2020. (desconto máximo de 5% do Vale Refeição).</t>
  </si>
  <si>
    <t>Cláusula Oitava, da CCT com Registro no MTE: AM000147/2020 - Data de Registro no MTE: 22/04/2020.</t>
  </si>
  <si>
    <t>Dedução legal do vale transporte: O valor da dedução do vale transporte está de acordo com o art. 4º, parágrafo único da Lei 7.418, de 16 de dezembro de 1985 e Cláusula Décima, da CCT com Registro no MTE: AM000147/2020 - Data de Registro no MTE: 22/04/2020.  (desconto máximo de 6% do salário-base).</t>
  </si>
  <si>
    <t>Vale refeição: O valor do vale refeição foi calculado de acordo com a convenção coletiva de trabalho firmada entre os sindicatos das categorias profissionais e econômicas envolvidas na prestação dos serviços ora licitados.
Vale refeição = valor diário x 4
Onde: 
O valor diário é R$ 19,00, conforme Cláusula Nona, da CCT com Registro no MTE: AM000147/2020 - Data de Registro no MTE: 22/04/2020.
O 4 é o número médio de dias efetivamente trabalhado pelos empregados no mês.</t>
  </si>
  <si>
    <t>Quantidade de Posto
(a)</t>
  </si>
  <si>
    <t>Quantidade de Empregado por Posto
(c)</t>
  </si>
  <si>
    <t>Vlr. Unitário por Empregado R$
(b)</t>
  </si>
  <si>
    <t>Vlr. Mensal R$ (d= a x b x c)</t>
  </si>
  <si>
    <t>Vlr. Anual R$ (e= d x 12 meses)</t>
  </si>
  <si>
    <t>1.0</t>
  </si>
  <si>
    <t>CCT 2020/2022 - N.º Registro no MTE: AM000070/2020 - Data de Registro no MTE: 14/02/2020.</t>
  </si>
  <si>
    <t>Apito</t>
  </si>
  <si>
    <t>Foi considerado que 01 (uma) unidade do equipamento é para 1 (um) posto, logo compartilhada por 02 (dois) vigilantes.</t>
  </si>
  <si>
    <r>
      <rPr>
        <b/>
        <sz val="10"/>
        <color theme="1"/>
        <rFont val="Arial"/>
        <family val="2"/>
      </rPr>
      <t xml:space="preserve">Observação: </t>
    </r>
    <r>
      <rPr>
        <sz val="10"/>
        <color theme="1"/>
        <rFont val="Arial"/>
        <family val="2"/>
      </rPr>
      <t xml:space="preserve">A licitante deve preencher o item intrajornada com o valor do custo por ela apurado, para a substituição do profissional durante o intervalo intrajornada. </t>
    </r>
  </si>
  <si>
    <r>
      <rPr>
        <b/>
        <sz val="10"/>
        <color theme="1"/>
        <rFont val="Arial"/>
        <family val="2"/>
      </rPr>
      <t>REMUNERAÇÃO -</t>
    </r>
    <r>
      <rPr>
        <sz val="10"/>
        <color theme="1"/>
        <rFont val="Arial"/>
        <family val="2"/>
      </rPr>
      <t xml:space="preserve"> Não serão aceitos valores de salário-base menores que os estabelecidos na planilha. Os demais valores são apenas estimativos e devem ser cotados de acordo com a Convenção Coletiva de Trabalho indicada e a legislação pertinente. 
</t>
    </r>
    <r>
      <rPr>
        <b/>
        <sz val="10"/>
        <color theme="1"/>
        <rFont val="Arial"/>
        <family val="2"/>
      </rPr>
      <t>INSUMOS -</t>
    </r>
    <r>
      <rPr>
        <sz val="10"/>
        <color theme="1"/>
        <rFont val="Arial"/>
        <family val="2"/>
      </rPr>
      <t xml:space="preserve"> Os insumos foram calculados conforme Convenção Coletiva de Trabalho 2020/2022 firmada entre o Sindicato dos Empregados em Empresas de Vigilância e Segurança de Manaus e Sindicato das Empresas de Vigilância, Segurança, Transporte de Valores e Curso de Formação do Estado do Amazonas (Registro no MTE AM000070/2020, Vigência e Data Base - 01/02/2020 a 31/12/2022).
</t>
    </r>
    <r>
      <rPr>
        <b/>
        <sz val="10"/>
        <color theme="1"/>
        <rFont val="Arial"/>
        <family val="2"/>
      </rPr>
      <t>LUCRO E DESPESAS INDIRETAS -</t>
    </r>
    <r>
      <rPr>
        <sz val="10"/>
        <color theme="1"/>
        <rFont val="Arial"/>
        <family val="2"/>
      </rPr>
      <t xml:space="preserve"> Eventuais custos não previstos expressamente na memória de cálculo devem ser cobertos pelo LDI (Lucro e Despesas Indiretas).
</t>
    </r>
    <r>
      <rPr>
        <b/>
        <sz val="10"/>
        <color theme="1"/>
        <rFont val="Arial"/>
        <family val="2"/>
      </rPr>
      <t xml:space="preserve">TRIBUTAÇÃO - </t>
    </r>
    <r>
      <rPr>
        <sz val="10"/>
        <color theme="1"/>
        <rFont val="Arial"/>
        <family val="2"/>
      </rPr>
      <t>A licitante deve elaborar sua proposta e, por conseguinte, sua planilha com base no regime de tributação ao qual estará submetida durante a execução do contrato.</t>
    </r>
  </si>
  <si>
    <t>Lucro e Despesas Indiretas – LDI:
Para fins de estimativa da CONTRATANTE, em Lucro e Despesas Indiretas - LDI, foram consideradas as despesas administrativas e operacionais (5%) e a margem de lucro (10%).</t>
  </si>
  <si>
    <t>Os tributos (ISS, COFINS e PIS) foram definidos utilizando o regime de tributação de Lucro PRESUMIDO.</t>
  </si>
  <si>
    <t>Custo Mensal Feminino (R$) (Custo Global ÷ 12 meses) →</t>
  </si>
  <si>
    <t>Custo Mensal Masculino (R$) (Custo Global ÷ 12 meses) →</t>
  </si>
  <si>
    <t>Custo Médio Masculino/Feminino (R$) [(Custo Mensal Fem. + Masc.) ÷ 2] →</t>
  </si>
  <si>
    <t>Emblema da empresa e do COREN-AM</t>
  </si>
  <si>
    <t>Custo Global (R$) (∑ do Custo Total) →</t>
  </si>
  <si>
    <t>Custo Mensal com a Manutenção dos Equipamentos: (k x 83 x V0/VU) →</t>
  </si>
  <si>
    <t>Custo Mensal com a Depreciação dos Equipamentos: [Valor total dos equipamentos x (1,00-0,20)]/(12x8) →</t>
  </si>
  <si>
    <t>Custo Mensal Manut. Depre. dos Equipamentos (R$) (Custo Mensal Manutenção + Depreciação) →</t>
  </si>
  <si>
    <t>Custo Mensal Manut. Depre. dos Equipamentos e Munição (R$) (Custo Mensal Manutenção + Depreciação + Munição) →</t>
  </si>
  <si>
    <t>Colete Balístico nível mínimo de segurança II-A</t>
  </si>
  <si>
    <t>D - CUSTO MENSAL COM HORAS EXTRAS (C ÷ 12)</t>
  </si>
  <si>
    <t>HOMEM-HORA A 50% (R$)</t>
  </si>
  <si>
    <r>
      <t xml:space="preserve">Total Item 1.0 R$ </t>
    </r>
    <r>
      <rPr>
        <b/>
        <sz val="10"/>
        <color theme="1"/>
        <rFont val="Calibri"/>
        <family val="2"/>
      </rPr>
      <t>→</t>
    </r>
  </si>
  <si>
    <t>Vlr. Mensal R$ (a)</t>
  </si>
  <si>
    <t>Vlr. Anual R$ (b= a x 12 meses)</t>
  </si>
  <si>
    <r>
      <t xml:space="preserve">Total Item 2.0 R$ </t>
    </r>
    <r>
      <rPr>
        <b/>
        <sz val="10"/>
        <color theme="1"/>
        <rFont val="Calibri"/>
        <family val="2"/>
      </rPr>
      <t>→</t>
    </r>
  </si>
  <si>
    <r>
      <t xml:space="preserve">TOTAL MENSAL (Item 1 + 2) R$ </t>
    </r>
    <r>
      <rPr>
        <b/>
        <sz val="10"/>
        <color theme="1"/>
        <rFont val="Calibri"/>
        <family val="2"/>
      </rPr>
      <t>→</t>
    </r>
    <r>
      <rPr>
        <b/>
        <sz val="10"/>
        <color theme="1"/>
        <rFont val="Arial"/>
        <family val="2"/>
      </rPr>
      <t xml:space="preserve"> </t>
    </r>
  </si>
  <si>
    <r>
      <t xml:space="preserve">TOTAL ANUAL (TOTAL MENSAL X 12 MESES) R$ </t>
    </r>
    <r>
      <rPr>
        <b/>
        <sz val="10"/>
        <color theme="1"/>
        <rFont val="Calibri"/>
        <family val="2"/>
      </rPr>
      <t>→</t>
    </r>
  </si>
  <si>
    <t>D.01 = 0,3980 x 0,19357 x 100 = 7,704%</t>
  </si>
  <si>
    <t>F.01 = (Encargos Grupo A) x (Remuneração) x 4/12 x 2%, em que:
Encargos do Grupo A = 0,3980;
4/12 = período de 4 meses de licença em um ano;
2% = Estimativa de que 2% dos empregados usufruirão da licença maternidade de 4 meses em um ano.
F.01 = 0,39800x(4/12)x(2/100)x100 = 0,265%</t>
  </si>
  <si>
    <t>C.01 - Estimativa de que 5% (cinco por cento) dos empregados serão substituídos durante um ano.
C.02 - Estimativa de que 3,4275% dos empregados receberão indenização de acordo com a média nacional de 12 meses (abril 2015 - março 2016) da Taxa de Rotatividade por Nível Geográfico - M.T.E./CAGED.
C.03 - Multa de 40% do FGTS em relação aos trabalhadores contratados.
Obs.: Esta extinguida a cobrança da contribuição social de 10% devida pelos empregadores em caso de despedida sem justa causa, conforme Lei Federal n.º 13.932/2019.</t>
  </si>
  <si>
    <r>
      <rPr>
        <b/>
        <sz val="10"/>
        <color theme="1"/>
        <rFont val="Arial"/>
        <family val="2"/>
      </rPr>
      <t>REMUNERAÇÃO -</t>
    </r>
    <r>
      <rPr>
        <sz val="10"/>
        <color theme="1"/>
        <rFont val="Arial"/>
        <family val="2"/>
      </rPr>
      <t xml:space="preserve"> Não serão aceitos valores de salário-base menores que os estabelecidos na planilha. Os demais valores são apenas estimativos e devem ser cotados de acordo com a Convenção Coletiva de Trabalho indicada e a legislação pertinente. 
</t>
    </r>
    <r>
      <rPr>
        <b/>
        <sz val="10"/>
        <color theme="1"/>
        <rFont val="Arial"/>
        <family val="2"/>
      </rPr>
      <t>INSUMOS -</t>
    </r>
    <r>
      <rPr>
        <sz val="10"/>
        <color theme="1"/>
        <rFont val="Arial"/>
        <family val="2"/>
      </rPr>
      <t xml:space="preserve"> Os insumos foram calculados conforme Convenção Coletiva de Trabalho 2020/2021 firmada entre o Sindicato das Empresas de Vigilância, Segurança, Transporte de Valores e Curso de Formação do Estado do Amazonas e Fed Nac de Trabalhadores em Edif e Condomínios (Registro no MTE AM000147/2020, Vigência e Data Base - 01/02/2020 a 31/01/2021).
</t>
    </r>
    <r>
      <rPr>
        <b/>
        <sz val="10"/>
        <color theme="1"/>
        <rFont val="Arial"/>
        <family val="2"/>
      </rPr>
      <t>LUCRO E DESPESAS INDIRETAS -</t>
    </r>
    <r>
      <rPr>
        <sz val="10"/>
        <color theme="1"/>
        <rFont val="Arial"/>
        <family val="2"/>
      </rPr>
      <t xml:space="preserve"> Eventuais custos não previstos expressamente na memória de cálculo devem ser cobertos pelo LDI (Lucro e Despesas Indiretas).
</t>
    </r>
    <r>
      <rPr>
        <b/>
        <sz val="10"/>
        <color theme="1"/>
        <rFont val="Arial"/>
        <family val="2"/>
      </rPr>
      <t xml:space="preserve">TRIBUTAÇÃO - </t>
    </r>
    <r>
      <rPr>
        <sz val="10"/>
        <color theme="1"/>
        <rFont val="Arial"/>
        <family val="2"/>
      </rPr>
      <t>A licitante deve elaborar sua proposta e, por conseguinte, sua planilha com base no regime de tributação ao qual estará submetida durante a execução do contrato.</t>
    </r>
  </si>
  <si>
    <r>
      <rPr>
        <b/>
        <sz val="10"/>
        <color theme="1"/>
        <rFont val="Arial"/>
        <family val="2"/>
      </rPr>
      <t xml:space="preserve">REMUNERAÇÃO - </t>
    </r>
    <r>
      <rPr>
        <sz val="10"/>
        <color theme="1"/>
        <rFont val="Arial"/>
        <family val="2"/>
      </rPr>
      <t xml:space="preserve">Não serão aceitos valores de salário-base menores que os estabelecidos na planilha. Os demais valores são apenas estimativos e devem ser cotados de acordo com a Convenção Coletiva de Trabalho indicada e a legislação pertinente. 
</t>
    </r>
    <r>
      <rPr>
        <b/>
        <sz val="10"/>
        <color theme="1"/>
        <rFont val="Arial"/>
        <family val="2"/>
      </rPr>
      <t>INSUMOS -</t>
    </r>
    <r>
      <rPr>
        <sz val="10"/>
        <color theme="1"/>
        <rFont val="Arial"/>
        <family val="2"/>
      </rPr>
      <t xml:space="preserve"> Os insumos foram calculados conforme Convenção Coletiva de Trabalho 2020/2021 firmada entre o Sindicato das Empresas de Vigilância, Segurança, Transporte de Valores e Curso de Formação do Estado do Amazonas e Fed Nac de Trabalhadores em Edif e Condominios (Registro no MTE AM000147/2020, Vigência e Data Base - 01/02/2020 a 31/01/2021).
</t>
    </r>
    <r>
      <rPr>
        <b/>
        <sz val="10"/>
        <color theme="1"/>
        <rFont val="Arial"/>
        <family val="2"/>
      </rPr>
      <t xml:space="preserve">LUCRO E DESPESAS INDIRETAS - </t>
    </r>
    <r>
      <rPr>
        <sz val="10"/>
        <color theme="1"/>
        <rFont val="Arial"/>
        <family val="2"/>
      </rPr>
      <t xml:space="preserve">Valor zero.
</t>
    </r>
    <r>
      <rPr>
        <b/>
        <sz val="10"/>
        <color theme="1"/>
        <rFont val="Arial"/>
        <family val="2"/>
      </rPr>
      <t xml:space="preserve">TRIBUTAÇÃO - </t>
    </r>
    <r>
      <rPr>
        <sz val="10"/>
        <color theme="1"/>
        <rFont val="Arial"/>
        <family val="2"/>
      </rPr>
      <t>A licitante deve elaborar sua proposta e, por conseguinte, sua planilha com base no regime de tributação ao qual estará submetida durante a execução do contrato.</t>
    </r>
  </si>
  <si>
    <t>Foi considerado que 01 (um) blister com 10 (dez) balas é utilizada no período de 12 (doze) meses.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</si>
</sst>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Calibri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 applyFill="0" applyBorder="0" applyAlignment="0" applyProtection="0"/>
  </cellStyleXfs>
  <cellXfs count="160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3" fillId="0" borderId="0" xfId="0" applyFont="1"/>
    <xf numFmtId="4" fontId="5" fillId="0" borderId="1" xfId="0" applyNumberFormat="1" applyFont="1" applyBorder="1" applyAlignment="1">
      <alignment horizontal="center" vertical="center"/>
    </xf>
    <xf numFmtId="4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5" fillId="2" borderId="11" xfId="0" applyFont="1" applyFill="1" applyBorder="1"/>
    <xf numFmtId="0" fontId="5" fillId="2" borderId="1" xfId="0" applyFont="1" applyFill="1" applyBorder="1"/>
    <xf numFmtId="0" fontId="5" fillId="2" borderId="1" xfId="0" applyFont="1" applyFill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5" fillId="2" borderId="11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2" fontId="5" fillId="0" borderId="0" xfId="0" applyNumberFormat="1" applyFont="1" applyBorder="1" applyAlignment="1">
      <alignment horizontal="center" vertical="center" wrapText="1"/>
    </xf>
    <xf numFmtId="4" fontId="5" fillId="0" borderId="0" xfId="0" applyNumberFormat="1" applyFont="1" applyBorder="1" applyAlignment="1">
      <alignment horizontal="center" vertical="center" wrapText="1"/>
    </xf>
    <xf numFmtId="164" fontId="5" fillId="0" borderId="0" xfId="0" applyNumberFormat="1" applyFont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right" vertical="center"/>
    </xf>
    <xf numFmtId="4" fontId="5" fillId="5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13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3" borderId="14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5" fillId="4" borderId="5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right" vertical="center" wrapText="1"/>
    </xf>
    <xf numFmtId="0" fontId="3" fillId="4" borderId="8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9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top" wrapText="1"/>
    </xf>
    <xf numFmtId="0" fontId="5" fillId="4" borderId="3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5" fillId="5" borderId="6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3" fillId="0" borderId="5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4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/>
    </xf>
  </cellXfs>
  <cellStyles count="3">
    <cellStyle name="Normal" xfId="0" builtinId="0"/>
    <cellStyle name="Normal 2 2" xfId="1" xr:uid="{00000000-0005-0000-0000-000001000000}"/>
    <cellStyle name="Separador de milhares 2_ORÇAMENTO matureia corrigido (DEZ 2009)" xfId="2" xr:uid="{00000000-0005-0000-0000-000002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eetMetadata" Target="metadata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374650</xdr:colOff>
      <xdr:row>93</xdr:row>
      <xdr:rowOff>40219</xdr:rowOff>
    </xdr:from>
    <xdr:ext cx="2431307" cy="34804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aixaDeTexto 1">
              <a:extLst>
                <a:ext uri="{FF2B5EF4-FFF2-40B4-BE49-F238E27FC236}">
                  <a16:creationId xmlns:a16="http://schemas.microsoft.com/office/drawing/2014/main" id="{00000000-0008-0000-0100-000002000000}"/>
                </a:ext>
              </a:extLst>
            </xdr:cNvPr>
            <xdr:cNvSpPr txBox="1"/>
          </xdr:nvSpPr>
          <xdr:spPr>
            <a:xfrm>
              <a:off x="7063317" y="28742219"/>
              <a:ext cx="2431307" cy="34804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nor/>
                      </m:rPr>
                      <a:rPr lang="pt-BR" sz="1100" b="0" i="0">
                        <a:latin typeface="Cambria Math" panose="02040503050406030204" pitchFamily="18" charset="0"/>
                      </a:rPr>
                      <m:t>Base</m:t>
                    </m:r>
                    <m:r>
                      <m:rPr>
                        <m:nor/>
                      </m:rPr>
                      <a:rPr lang="pt-BR" sz="1100" b="0" i="0">
                        <a:latin typeface="Cambria Math" panose="02040503050406030204" pitchFamily="18" charset="0"/>
                      </a:rPr>
                      <m:t> = </m:t>
                    </m:r>
                    <m:f>
                      <m:fPr>
                        <m:ctrlPr>
                          <a:rPr lang="pt-BR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Composi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çã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o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I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 + 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II</m:t>
                        </m:r>
                        <m:r>
                          <a:rPr lang="pt-BR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m:rPr>
                            <m:sty m:val="p"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III</m:t>
                        </m:r>
                        <m:r>
                          <a:rPr lang="pt-BR" sz="1100" b="0" i="0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m:rPr>
                            <m:sty m:val="p"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IV</m:t>
                        </m:r>
                        <m:r>
                          <a:rPr lang="pt-BR" sz="1100" b="0" i="0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m:rPr>
                            <m:sty m:val="p"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V</m:t>
                        </m:r>
                      </m:num>
                      <m:den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1 −(% 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tributos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÷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100)</m:t>
                        </m:r>
                      </m:den>
                    </m:f>
                  </m:oMath>
                </m:oMathPara>
              </a14:m>
              <a:endParaRPr lang="pt-BR" sz="1100"/>
            </a:p>
          </xdr:txBody>
        </xdr:sp>
      </mc:Choice>
      <mc:Fallback xmlns="">
        <xdr:sp macro="" textlink="">
          <xdr:nvSpPr>
            <xdr:cNvPr id="2" name="CaixaDeTexto 1"/>
            <xdr:cNvSpPr txBox="1"/>
          </xdr:nvSpPr>
          <xdr:spPr>
            <a:xfrm>
              <a:off x="7063317" y="28742219"/>
              <a:ext cx="2431307" cy="34804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pt-BR" sz="1100" b="0" i="0">
                  <a:latin typeface="Cambria Math" panose="02040503050406030204" pitchFamily="18" charset="0"/>
                </a:rPr>
                <a:t>"Base = "  ("Composição I + II" +III+IV+V)/"1 −(% tributos ÷100)" </a:t>
              </a:r>
              <a:endParaRPr lang="pt-BR" sz="1100"/>
            </a:p>
          </xdr:txBody>
        </xdr:sp>
      </mc:Fallback>
    </mc:AlternateContent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374650</xdr:colOff>
      <xdr:row>95</xdr:row>
      <xdr:rowOff>40219</xdr:rowOff>
    </xdr:from>
    <xdr:ext cx="2431307" cy="34804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aixaDeTexto 1">
              <a:extLst>
                <a:ext uri="{FF2B5EF4-FFF2-40B4-BE49-F238E27FC236}">
                  <a16:creationId xmlns:a16="http://schemas.microsoft.com/office/drawing/2014/main" id="{00000000-0008-0000-0200-000002000000}"/>
                </a:ext>
              </a:extLst>
            </xdr:cNvPr>
            <xdr:cNvSpPr txBox="1"/>
          </xdr:nvSpPr>
          <xdr:spPr>
            <a:xfrm>
              <a:off x="7070725" y="28719994"/>
              <a:ext cx="2431307" cy="34804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nor/>
                      </m:rPr>
                      <a:rPr lang="pt-BR" sz="1100" b="0" i="0">
                        <a:latin typeface="Cambria Math" panose="02040503050406030204" pitchFamily="18" charset="0"/>
                      </a:rPr>
                      <m:t>Base</m:t>
                    </m:r>
                    <m:r>
                      <m:rPr>
                        <m:nor/>
                      </m:rPr>
                      <a:rPr lang="pt-BR" sz="1100" b="0" i="0">
                        <a:latin typeface="Cambria Math" panose="02040503050406030204" pitchFamily="18" charset="0"/>
                      </a:rPr>
                      <m:t> = </m:t>
                    </m:r>
                    <m:f>
                      <m:fPr>
                        <m:ctrlPr>
                          <a:rPr lang="pt-BR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Composi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çã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o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I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 + 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II</m:t>
                        </m:r>
                        <m:r>
                          <a:rPr lang="pt-BR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m:rPr>
                            <m:sty m:val="p"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III</m:t>
                        </m:r>
                        <m:r>
                          <a:rPr lang="pt-BR" sz="1100" b="0" i="0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m:rPr>
                            <m:sty m:val="p"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IV</m:t>
                        </m:r>
                        <m:r>
                          <a:rPr lang="pt-BR" sz="1100" b="0" i="0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m:rPr>
                            <m:sty m:val="p"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V</m:t>
                        </m:r>
                      </m:num>
                      <m:den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1 −(% 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tributos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÷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100)</m:t>
                        </m:r>
                      </m:den>
                    </m:f>
                  </m:oMath>
                </m:oMathPara>
              </a14:m>
              <a:endParaRPr lang="pt-BR" sz="1100"/>
            </a:p>
          </xdr:txBody>
        </xdr:sp>
      </mc:Choice>
      <mc:Fallback xmlns="">
        <xdr:sp macro="" textlink="">
          <xdr:nvSpPr>
            <xdr:cNvPr id="2" name="CaixaDeTexto 1"/>
            <xdr:cNvSpPr txBox="1"/>
          </xdr:nvSpPr>
          <xdr:spPr>
            <a:xfrm>
              <a:off x="7070725" y="28719994"/>
              <a:ext cx="2431307" cy="34804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pt-BR" sz="1100" b="0" i="0">
                  <a:latin typeface="Cambria Math" panose="02040503050406030204" pitchFamily="18" charset="0"/>
                </a:rPr>
                <a:t>"Base = "  ("Composição I + II" +III+IV+V)/"1 −(% tributos ÷100)" </a:t>
              </a:r>
              <a:endParaRPr lang="pt-BR" sz="1100"/>
            </a:p>
          </xdr:txBody>
        </xdr:sp>
      </mc:Fallback>
    </mc:AlternateContent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374650</xdr:colOff>
      <xdr:row>85</xdr:row>
      <xdr:rowOff>40219</xdr:rowOff>
    </xdr:from>
    <xdr:ext cx="2178032" cy="34804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aixaDeTexto 1">
              <a:extLst>
                <a:ext uri="{FF2B5EF4-FFF2-40B4-BE49-F238E27FC236}">
                  <a16:creationId xmlns:a16="http://schemas.microsoft.com/office/drawing/2014/main" id="{00000000-0008-0000-0300-000002000000}"/>
                </a:ext>
              </a:extLst>
            </xdr:cNvPr>
            <xdr:cNvSpPr txBox="1"/>
          </xdr:nvSpPr>
          <xdr:spPr>
            <a:xfrm>
              <a:off x="7063317" y="26710219"/>
              <a:ext cx="2178032" cy="34804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nor/>
                      </m:rPr>
                      <a:rPr lang="pt-BR" sz="1100" b="0" i="0">
                        <a:latin typeface="Cambria Math" panose="02040503050406030204" pitchFamily="18" charset="0"/>
                      </a:rPr>
                      <m:t>Base</m:t>
                    </m:r>
                    <m:r>
                      <m:rPr>
                        <m:nor/>
                      </m:rPr>
                      <a:rPr lang="pt-BR" sz="1100" b="0" i="0">
                        <a:latin typeface="Cambria Math" panose="02040503050406030204" pitchFamily="18" charset="0"/>
                      </a:rPr>
                      <m:t> = </m:t>
                    </m:r>
                    <m:f>
                      <m:fPr>
                        <m:ctrlPr>
                          <a:rPr lang="pt-BR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Composi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çã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o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I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 + 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II</m:t>
                        </m:r>
                        <m:r>
                          <a:rPr lang="pt-BR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m:rPr>
                            <m:sty m:val="p"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III</m:t>
                        </m:r>
                        <m:r>
                          <a:rPr lang="pt-BR" sz="1100" b="0" i="0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m:rPr>
                            <m:sty m:val="p"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IV</m:t>
                        </m:r>
                      </m:num>
                      <m:den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1 −(% 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tributos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÷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100)</m:t>
                        </m:r>
                      </m:den>
                    </m:f>
                  </m:oMath>
                </m:oMathPara>
              </a14:m>
              <a:endParaRPr lang="pt-BR" sz="1100"/>
            </a:p>
          </xdr:txBody>
        </xdr:sp>
      </mc:Choice>
      <mc:Fallback xmlns="">
        <xdr:sp macro="" textlink="">
          <xdr:nvSpPr>
            <xdr:cNvPr id="2" name="CaixaDeTexto 1"/>
            <xdr:cNvSpPr txBox="1"/>
          </xdr:nvSpPr>
          <xdr:spPr>
            <a:xfrm>
              <a:off x="7063317" y="26710219"/>
              <a:ext cx="2178032" cy="34804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pt-BR" sz="1100" b="0" i="0">
                  <a:latin typeface="Cambria Math" panose="02040503050406030204" pitchFamily="18" charset="0"/>
                </a:rPr>
                <a:t>"Base = "  ("Composição I + II" +III+IV)/"1 −(% tributos ÷100)" </a:t>
              </a:r>
              <a:endParaRPr lang="pt-BR" sz="1100"/>
            </a:p>
          </xdr:txBody>
        </xdr:sp>
      </mc:Fallback>
    </mc:AlternateContent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374650</xdr:colOff>
      <xdr:row>81</xdr:row>
      <xdr:rowOff>40219</xdr:rowOff>
    </xdr:from>
    <xdr:ext cx="2178032" cy="34804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aixaDeTexto 1">
              <a:extLst>
                <a:ext uri="{FF2B5EF4-FFF2-40B4-BE49-F238E27FC236}">
                  <a16:creationId xmlns:a16="http://schemas.microsoft.com/office/drawing/2014/main" id="{F185CB19-9994-44B6-8AF8-2FDB48F590E1}"/>
                </a:ext>
              </a:extLst>
            </xdr:cNvPr>
            <xdr:cNvSpPr txBox="1"/>
          </xdr:nvSpPr>
          <xdr:spPr>
            <a:xfrm>
              <a:off x="7385050" y="25941869"/>
              <a:ext cx="2178032" cy="34804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nor/>
                      </m:rPr>
                      <a:rPr lang="pt-BR" sz="1100" b="0" i="0">
                        <a:latin typeface="Cambria Math" panose="02040503050406030204" pitchFamily="18" charset="0"/>
                      </a:rPr>
                      <m:t>Base</m:t>
                    </m:r>
                    <m:r>
                      <m:rPr>
                        <m:nor/>
                      </m:rPr>
                      <a:rPr lang="pt-BR" sz="1100" b="0" i="0">
                        <a:latin typeface="Cambria Math" panose="02040503050406030204" pitchFamily="18" charset="0"/>
                      </a:rPr>
                      <m:t> = </m:t>
                    </m:r>
                    <m:f>
                      <m:fPr>
                        <m:ctrlPr>
                          <a:rPr lang="pt-BR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Composi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çã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o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I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 + 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II</m:t>
                        </m:r>
                        <m:r>
                          <a:rPr lang="pt-BR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m:rPr>
                            <m:sty m:val="p"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III</m:t>
                        </m:r>
                        <m:r>
                          <a:rPr lang="pt-BR" sz="1100" b="0" i="0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m:rPr>
                            <m:sty m:val="p"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IV</m:t>
                        </m:r>
                      </m:num>
                      <m:den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1 −(% 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tributos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÷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100)</m:t>
                        </m:r>
                      </m:den>
                    </m:f>
                  </m:oMath>
                </m:oMathPara>
              </a14:m>
              <a:endParaRPr lang="pt-BR" sz="1100"/>
            </a:p>
          </xdr:txBody>
        </xdr:sp>
      </mc:Choice>
      <mc:Fallback xmlns="">
        <xdr:sp macro="" textlink="">
          <xdr:nvSpPr>
            <xdr:cNvPr id="2" name="CaixaDeTexto 1">
              <a:extLst>
                <a:ext uri="{FF2B5EF4-FFF2-40B4-BE49-F238E27FC236}">
                  <a16:creationId xmlns:a16="http://schemas.microsoft.com/office/drawing/2014/main" id="{F185CB19-9994-44B6-8AF8-2FDB48F590E1}"/>
                </a:ext>
              </a:extLst>
            </xdr:cNvPr>
            <xdr:cNvSpPr txBox="1"/>
          </xdr:nvSpPr>
          <xdr:spPr>
            <a:xfrm>
              <a:off x="7385050" y="25941869"/>
              <a:ext cx="2178032" cy="34804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pt-BR" sz="1100" b="0" i="0">
                  <a:latin typeface="Cambria Math" panose="02040503050406030204" pitchFamily="18" charset="0"/>
                </a:rPr>
                <a:t>"Base = "  ("Composição I + II" +III+IV)/"1 −(% tributos ÷100)" </a:t>
              </a:r>
              <a:endParaRPr lang="pt-BR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4"/>
  <sheetViews>
    <sheetView tabSelected="1" workbookViewId="0">
      <selection sqref="A1:K14"/>
    </sheetView>
  </sheetViews>
  <sheetFormatPr defaultRowHeight="14.5" x14ac:dyDescent="0.35"/>
  <cols>
    <col min="7" max="7" width="12.81640625" customWidth="1"/>
    <col min="8" max="8" width="14.1796875" customWidth="1"/>
    <col min="9" max="9" width="14" customWidth="1"/>
    <col min="10" max="10" width="12.90625" customWidth="1"/>
    <col min="11" max="11" width="13.7265625" customWidth="1"/>
  </cols>
  <sheetData>
    <row r="1" spans="1:11" x14ac:dyDescent="0.35">
      <c r="A1" s="53" t="s">
        <v>172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x14ac:dyDescent="0.35">
      <c r="A2" s="3" t="s">
        <v>241</v>
      </c>
      <c r="B2" s="60" t="s">
        <v>224</v>
      </c>
      <c r="C2" s="61"/>
      <c r="D2" s="61"/>
      <c r="E2" s="61"/>
      <c r="F2" s="61"/>
      <c r="G2" s="61"/>
      <c r="H2" s="61"/>
      <c r="I2" s="61"/>
      <c r="J2" s="61"/>
      <c r="K2" s="62"/>
    </row>
    <row r="3" spans="1:11" ht="52" x14ac:dyDescent="0.35">
      <c r="A3" s="4" t="s">
        <v>168</v>
      </c>
      <c r="B3" s="54" t="s">
        <v>169</v>
      </c>
      <c r="C3" s="54"/>
      <c r="D3" s="54"/>
      <c r="E3" s="54"/>
      <c r="F3" s="54"/>
      <c r="G3" s="5" t="s">
        <v>236</v>
      </c>
      <c r="H3" s="5" t="s">
        <v>238</v>
      </c>
      <c r="I3" s="5" t="s">
        <v>237</v>
      </c>
      <c r="J3" s="5" t="s">
        <v>239</v>
      </c>
      <c r="K3" s="5" t="s">
        <v>240</v>
      </c>
    </row>
    <row r="4" spans="1:11" x14ac:dyDescent="0.35">
      <c r="A4" s="6" t="s">
        <v>170</v>
      </c>
      <c r="B4" s="55" t="s">
        <v>180</v>
      </c>
      <c r="C4" s="56"/>
      <c r="D4" s="56"/>
      <c r="E4" s="56"/>
      <c r="F4" s="57"/>
      <c r="G4" s="6">
        <v>1</v>
      </c>
      <c r="H4" s="7">
        <f>'Vigilante Patrimonial (Diurno)'!D102</f>
        <v>4751.5385244597701</v>
      </c>
      <c r="I4" s="8">
        <v>2</v>
      </c>
      <c r="J4" s="7">
        <f>G4*H4*I4</f>
        <v>9503.0770489195402</v>
      </c>
      <c r="K4" s="7">
        <f t="shared" ref="K4:K5" si="0">J4*12</f>
        <v>114036.92458703447</v>
      </c>
    </row>
    <row r="5" spans="1:11" x14ac:dyDescent="0.35">
      <c r="A5" s="6" t="s">
        <v>171</v>
      </c>
      <c r="B5" s="58" t="s">
        <v>181</v>
      </c>
      <c r="C5" s="58"/>
      <c r="D5" s="58"/>
      <c r="E5" s="58"/>
      <c r="F5" s="58"/>
      <c r="G5" s="6">
        <v>1</v>
      </c>
      <c r="H5" s="7">
        <f>'Vigilante Patrimonial (Noturno)'!D104</f>
        <v>5740.564961241379</v>
      </c>
      <c r="I5" s="8">
        <v>2</v>
      </c>
      <c r="J5" s="7">
        <f>G5*H5*I5</f>
        <v>11481.129922482758</v>
      </c>
      <c r="K5" s="7">
        <f t="shared" si="0"/>
        <v>137773.55906979309</v>
      </c>
    </row>
    <row r="6" spans="1:11" x14ac:dyDescent="0.35">
      <c r="A6" s="6" t="s">
        <v>173</v>
      </c>
      <c r="B6" s="58" t="s">
        <v>200</v>
      </c>
      <c r="C6" s="58"/>
      <c r="D6" s="58"/>
      <c r="E6" s="58"/>
      <c r="F6" s="58"/>
      <c r="G6" s="6">
        <v>1</v>
      </c>
      <c r="H6" s="7">
        <f>'Agente de Portaria'!D94</f>
        <v>3309.3099630344818</v>
      </c>
      <c r="I6" s="8">
        <v>1</v>
      </c>
      <c r="J6" s="7">
        <f>G6*H6*I6</f>
        <v>3309.3099630344818</v>
      </c>
      <c r="K6" s="7">
        <f t="shared" ref="K6" si="1">J6*12</f>
        <v>39711.71955641378</v>
      </c>
    </row>
    <row r="7" spans="1:11" x14ac:dyDescent="0.35">
      <c r="A7" s="59" t="s">
        <v>261</v>
      </c>
      <c r="B7" s="59"/>
      <c r="C7" s="59"/>
      <c r="D7" s="59"/>
      <c r="E7" s="59"/>
      <c r="F7" s="59"/>
      <c r="G7" s="52">
        <f>SUM(G4:G6)</f>
        <v>3</v>
      </c>
      <c r="H7" s="11">
        <f>SUM(H4:H6)</f>
        <v>13801.413448735631</v>
      </c>
      <c r="I7" s="52">
        <f>SUM(I4:I6)</f>
        <v>5</v>
      </c>
      <c r="J7" s="11">
        <f>SUM(J4:J6)</f>
        <v>24293.516934436779</v>
      </c>
      <c r="K7" s="11">
        <f>SUM(K4:K6)</f>
        <v>291522.20321324136</v>
      </c>
    </row>
    <row r="8" spans="1:11" x14ac:dyDescent="0.35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</row>
    <row r="9" spans="1:11" ht="39" x14ac:dyDescent="0.35">
      <c r="A9" s="9" t="s">
        <v>225</v>
      </c>
      <c r="B9" s="65" t="s">
        <v>226</v>
      </c>
      <c r="C9" s="65"/>
      <c r="D9" s="65"/>
      <c r="E9" s="65"/>
      <c r="F9" s="65"/>
      <c r="G9" s="65"/>
      <c r="H9" s="65"/>
      <c r="I9" s="65"/>
      <c r="J9" s="51" t="s">
        <v>262</v>
      </c>
      <c r="K9" s="51" t="s">
        <v>263</v>
      </c>
    </row>
    <row r="10" spans="1:11" x14ac:dyDescent="0.35">
      <c r="A10" s="6" t="s">
        <v>227</v>
      </c>
      <c r="B10" s="58" t="s">
        <v>228</v>
      </c>
      <c r="C10" s="58"/>
      <c r="D10" s="58"/>
      <c r="E10" s="58"/>
      <c r="F10" s="58"/>
      <c r="G10" s="58"/>
      <c r="H10" s="58"/>
      <c r="I10" s="58"/>
      <c r="J10" s="7" cm="1">
        <f t="array" ref="J10">'Horas Extras'!L12:L12</f>
        <v>86.507521852349427</v>
      </c>
      <c r="K10" s="7" cm="1">
        <f t="array" ref="K10">'Horas Extras'!L11:L11</f>
        <v>1038.0902622281931</v>
      </c>
    </row>
    <row r="11" spans="1:11" x14ac:dyDescent="0.35">
      <c r="A11" s="66" t="s">
        <v>264</v>
      </c>
      <c r="B11" s="67"/>
      <c r="C11" s="67"/>
      <c r="D11" s="67"/>
      <c r="E11" s="67"/>
      <c r="F11" s="67"/>
      <c r="G11" s="67"/>
      <c r="H11" s="67"/>
      <c r="I11" s="68"/>
      <c r="J11" s="11">
        <f>SUM(J10)</f>
        <v>86.507521852349427</v>
      </c>
      <c r="K11" s="11">
        <f>SUM(K10)</f>
        <v>1038.0902622281931</v>
      </c>
    </row>
    <row r="12" spans="1:11" x14ac:dyDescent="0.35">
      <c r="A12" s="58"/>
      <c r="B12" s="58"/>
      <c r="C12" s="58"/>
      <c r="D12" s="58"/>
      <c r="E12" s="58"/>
      <c r="F12" s="58"/>
      <c r="G12" s="58"/>
      <c r="H12" s="58"/>
      <c r="I12" s="58"/>
      <c r="J12" s="58"/>
      <c r="K12" s="58"/>
    </row>
    <row r="13" spans="1:11" x14ac:dyDescent="0.35">
      <c r="A13" s="63" t="s">
        <v>265</v>
      </c>
      <c r="B13" s="63"/>
      <c r="C13" s="63"/>
      <c r="D13" s="63"/>
      <c r="E13" s="63"/>
      <c r="F13" s="63"/>
      <c r="G13" s="63"/>
      <c r="H13" s="63"/>
      <c r="I13" s="63"/>
      <c r="J13" s="64">
        <f>J7+J10</f>
        <v>24380.024456289128</v>
      </c>
      <c r="K13" s="65"/>
    </row>
    <row r="14" spans="1:11" x14ac:dyDescent="0.35">
      <c r="A14" s="63" t="s">
        <v>266</v>
      </c>
      <c r="B14" s="63"/>
      <c r="C14" s="63"/>
      <c r="D14" s="63"/>
      <c r="E14" s="63"/>
      <c r="F14" s="63"/>
      <c r="G14" s="63"/>
      <c r="H14" s="63"/>
      <c r="I14" s="63"/>
      <c r="J14" s="64">
        <f>J13*12</f>
        <v>292560.29347546952</v>
      </c>
      <c r="K14" s="65"/>
    </row>
  </sheetData>
  <mergeCells count="16">
    <mergeCell ref="A14:I14"/>
    <mergeCell ref="J14:K14"/>
    <mergeCell ref="A8:K8"/>
    <mergeCell ref="B9:I9"/>
    <mergeCell ref="B10:I10"/>
    <mergeCell ref="A12:K12"/>
    <mergeCell ref="A13:I13"/>
    <mergeCell ref="J13:K13"/>
    <mergeCell ref="A11:I11"/>
    <mergeCell ref="A1:K1"/>
    <mergeCell ref="B3:F3"/>
    <mergeCell ref="B4:F4"/>
    <mergeCell ref="B5:F5"/>
    <mergeCell ref="A7:F7"/>
    <mergeCell ref="B6:F6"/>
    <mergeCell ref="B2:K2"/>
  </mergeCells>
  <pageMargins left="0.51181102362204722" right="0.51181102362204722" top="1.1811023622047245" bottom="1.1811023622047245" header="0.31496062992125984" footer="0.31496062992125984"/>
  <pageSetup paperSize="9" scale="76" fitToHeight="0" orientation="portrait" r:id="rId1"/>
  <headerFooter>
    <oddHeader>&amp;C&amp;"Arial Black,Normal"&amp;24COREN-AM - &amp;16PLANILHA(S) DETALHADA DE CUSTO - VIGILANTE(S) ARMADO e AGENTE DE PORTARIA - 11/05/2020</oddHeader>
    <oddFooter>&amp;LRua Tapajós, 350 – Centro, Manaus-AM, 69010-150
Horário: 8h às 16 horas. 
Telefone: (92) 3232-9924
http://www.corenam.gov.br/
e-mail: selic@corenam.gov.br&amp;CPágina &amp;P de &amp;N&amp;RSETOR DE LICITAÇÕES E 
CONTRATOS - SELIC/COREN-AM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104"/>
  <sheetViews>
    <sheetView zoomScaleNormal="100" workbookViewId="0">
      <selection sqref="A1:Q104"/>
    </sheetView>
  </sheetViews>
  <sheetFormatPr defaultRowHeight="14.5" x14ac:dyDescent="0.35"/>
  <cols>
    <col min="1" max="1" width="33.453125" customWidth="1"/>
    <col min="2" max="2" width="14.6328125" customWidth="1"/>
    <col min="3" max="3" width="10.81640625" customWidth="1"/>
    <col min="4" max="4" width="12.26953125" customWidth="1"/>
  </cols>
  <sheetData>
    <row r="1" spans="1:17" x14ac:dyDescent="0.3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</row>
    <row r="2" spans="1:17" x14ac:dyDescent="0.35">
      <c r="A2" s="27" t="s">
        <v>3</v>
      </c>
      <c r="B2" s="128" t="s">
        <v>113</v>
      </c>
      <c r="C2" s="128"/>
      <c r="D2" s="128"/>
      <c r="E2" s="128"/>
      <c r="F2" s="28"/>
      <c r="G2" s="90" t="s">
        <v>84</v>
      </c>
      <c r="H2" s="90"/>
      <c r="I2" s="90"/>
      <c r="J2" s="90"/>
      <c r="K2" s="90"/>
      <c r="L2" s="90"/>
      <c r="M2" s="90"/>
      <c r="N2" s="90"/>
      <c r="O2" s="90"/>
      <c r="P2" s="90"/>
      <c r="Q2" s="90"/>
    </row>
    <row r="3" spans="1:17" ht="15" customHeight="1" x14ac:dyDescent="0.35">
      <c r="A3" s="27" t="s">
        <v>107</v>
      </c>
      <c r="B3" s="127" t="s">
        <v>112</v>
      </c>
      <c r="C3" s="127"/>
      <c r="D3" s="127"/>
      <c r="E3" s="127"/>
      <c r="F3" s="28"/>
      <c r="G3" s="92" t="s">
        <v>246</v>
      </c>
      <c r="H3" s="93"/>
      <c r="I3" s="93"/>
      <c r="J3" s="93"/>
      <c r="K3" s="93"/>
      <c r="L3" s="93"/>
      <c r="M3" s="93"/>
      <c r="N3" s="93"/>
      <c r="O3" s="93"/>
      <c r="P3" s="93"/>
      <c r="Q3" s="94"/>
    </row>
    <row r="4" spans="1:17" ht="15" customHeight="1" x14ac:dyDescent="0.35">
      <c r="A4" s="22" t="s">
        <v>2</v>
      </c>
      <c r="B4" s="127" t="s">
        <v>1</v>
      </c>
      <c r="C4" s="127"/>
      <c r="D4" s="127"/>
      <c r="E4" s="127"/>
      <c r="F4" s="28"/>
      <c r="G4" s="95"/>
      <c r="H4" s="96"/>
      <c r="I4" s="96"/>
      <c r="J4" s="96"/>
      <c r="K4" s="96"/>
      <c r="L4" s="96"/>
      <c r="M4" s="96"/>
      <c r="N4" s="96"/>
      <c r="O4" s="96"/>
      <c r="P4" s="96"/>
      <c r="Q4" s="97"/>
    </row>
    <row r="5" spans="1:17" ht="26" x14ac:dyDescent="0.35">
      <c r="A5" s="22" t="s">
        <v>4</v>
      </c>
      <c r="B5" s="127">
        <v>1</v>
      </c>
      <c r="C5" s="127"/>
      <c r="D5" s="127"/>
      <c r="E5" s="127"/>
      <c r="F5" s="28"/>
      <c r="G5" s="95"/>
      <c r="H5" s="96"/>
      <c r="I5" s="96"/>
      <c r="J5" s="96"/>
      <c r="K5" s="96"/>
      <c r="L5" s="96"/>
      <c r="M5" s="96"/>
      <c r="N5" s="96"/>
      <c r="O5" s="96"/>
      <c r="P5" s="96"/>
      <c r="Q5" s="97"/>
    </row>
    <row r="6" spans="1:17" ht="43.5" customHeight="1" x14ac:dyDescent="0.35">
      <c r="A6" s="22" t="s">
        <v>108</v>
      </c>
      <c r="B6" s="127" t="s">
        <v>242</v>
      </c>
      <c r="C6" s="127"/>
      <c r="D6" s="127"/>
      <c r="E6" s="127"/>
      <c r="F6" s="28"/>
      <c r="G6" s="95"/>
      <c r="H6" s="96"/>
      <c r="I6" s="96"/>
      <c r="J6" s="96"/>
      <c r="K6" s="96"/>
      <c r="L6" s="96"/>
      <c r="M6" s="96"/>
      <c r="N6" s="96"/>
      <c r="O6" s="96"/>
      <c r="P6" s="96"/>
      <c r="Q6" s="97"/>
    </row>
    <row r="7" spans="1:17" ht="20" customHeight="1" x14ac:dyDescent="0.35">
      <c r="A7" s="23"/>
      <c r="B7" s="24"/>
      <c r="C7" s="28"/>
      <c r="D7" s="28"/>
      <c r="E7" s="28"/>
      <c r="F7" s="28"/>
      <c r="G7" s="95"/>
      <c r="H7" s="96"/>
      <c r="I7" s="96"/>
      <c r="J7" s="96"/>
      <c r="K7" s="96"/>
      <c r="L7" s="96"/>
      <c r="M7" s="96"/>
      <c r="N7" s="96"/>
      <c r="O7" s="96"/>
      <c r="P7" s="96"/>
      <c r="Q7" s="97"/>
    </row>
    <row r="8" spans="1:17" ht="20" customHeight="1" x14ac:dyDescent="0.35">
      <c r="A8" s="23"/>
      <c r="B8" s="24"/>
      <c r="C8" s="28"/>
      <c r="D8" s="28"/>
      <c r="E8" s="28"/>
      <c r="F8" s="28"/>
      <c r="G8" s="98"/>
      <c r="H8" s="99"/>
      <c r="I8" s="99"/>
      <c r="J8" s="99"/>
      <c r="K8" s="99"/>
      <c r="L8" s="99"/>
      <c r="M8" s="99"/>
      <c r="N8" s="99"/>
      <c r="O8" s="99"/>
      <c r="P8" s="99"/>
      <c r="Q8" s="100"/>
    </row>
    <row r="9" spans="1:17" x14ac:dyDescent="0.35">
      <c r="A9" s="29"/>
      <c r="B9" s="29"/>
      <c r="C9" s="29"/>
      <c r="D9" s="29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</row>
    <row r="10" spans="1:17" x14ac:dyDescent="0.35">
      <c r="A10" s="91" t="s">
        <v>5</v>
      </c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</row>
    <row r="11" spans="1:17" x14ac:dyDescent="0.35">
      <c r="A11" s="84" t="s">
        <v>24</v>
      </c>
      <c r="B11" s="85"/>
      <c r="C11" s="85"/>
      <c r="D11" s="86"/>
      <c r="E11" s="90" t="s">
        <v>22</v>
      </c>
      <c r="F11" s="90"/>
      <c r="G11" s="90"/>
      <c r="H11" s="90"/>
      <c r="I11" s="90"/>
      <c r="J11" s="90"/>
      <c r="K11" s="89" t="s">
        <v>52</v>
      </c>
      <c r="L11" s="89"/>
      <c r="M11" s="89"/>
      <c r="N11" s="89"/>
      <c r="O11" s="89"/>
      <c r="P11" s="89"/>
      <c r="Q11" s="89"/>
    </row>
    <row r="12" spans="1:17" x14ac:dyDescent="0.35">
      <c r="A12" s="101" t="s">
        <v>6</v>
      </c>
      <c r="B12" s="102"/>
      <c r="C12" s="30" t="s">
        <v>7</v>
      </c>
      <c r="D12" s="30" t="s">
        <v>8</v>
      </c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89"/>
    </row>
    <row r="13" spans="1:17" ht="40.5" customHeight="1" x14ac:dyDescent="0.35">
      <c r="A13" s="77" t="s">
        <v>9</v>
      </c>
      <c r="B13" s="78"/>
      <c r="C13" s="2" t="s">
        <v>97</v>
      </c>
      <c r="D13" s="31">
        <v>1305</v>
      </c>
      <c r="E13" s="69" t="s">
        <v>114</v>
      </c>
      <c r="F13" s="69"/>
      <c r="G13" s="69"/>
      <c r="H13" s="69"/>
      <c r="I13" s="69"/>
      <c r="J13" s="69"/>
      <c r="K13" s="127"/>
      <c r="L13" s="127"/>
      <c r="M13" s="127"/>
      <c r="N13" s="127"/>
      <c r="O13" s="127"/>
      <c r="P13" s="127"/>
      <c r="Q13" s="127"/>
    </row>
    <row r="14" spans="1:17" ht="36" customHeight="1" x14ac:dyDescent="0.35">
      <c r="A14" s="73" t="s">
        <v>10</v>
      </c>
      <c r="B14" s="74"/>
      <c r="C14" s="32">
        <v>30</v>
      </c>
      <c r="D14" s="33">
        <f>TRUNC(C14*D13/100,2)</f>
        <v>391.5</v>
      </c>
      <c r="E14" s="69" t="s">
        <v>117</v>
      </c>
      <c r="F14" s="69"/>
      <c r="G14" s="69"/>
      <c r="H14" s="69"/>
      <c r="I14" s="69"/>
      <c r="J14" s="69"/>
      <c r="K14" s="127"/>
      <c r="L14" s="127"/>
      <c r="M14" s="127"/>
      <c r="N14" s="127"/>
      <c r="O14" s="127"/>
      <c r="P14" s="127"/>
      <c r="Q14" s="127"/>
    </row>
    <row r="15" spans="1:17" x14ac:dyDescent="0.35">
      <c r="A15" s="88" t="s">
        <v>35</v>
      </c>
      <c r="B15" s="88"/>
      <c r="C15" s="88"/>
      <c r="D15" s="34">
        <f>SUM(D13:D14)</f>
        <v>1696.5</v>
      </c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</row>
    <row r="16" spans="1:17" x14ac:dyDescent="0.35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</row>
    <row r="17" spans="1:17" x14ac:dyDescent="0.35">
      <c r="A17" s="89" t="s">
        <v>23</v>
      </c>
      <c r="B17" s="89"/>
      <c r="C17" s="89"/>
      <c r="D17" s="89"/>
      <c r="E17" s="81" t="s">
        <v>22</v>
      </c>
      <c r="F17" s="82"/>
      <c r="G17" s="82"/>
      <c r="H17" s="82"/>
      <c r="I17" s="82"/>
      <c r="J17" s="83"/>
      <c r="K17" s="89" t="s">
        <v>52</v>
      </c>
      <c r="L17" s="89"/>
      <c r="M17" s="89"/>
      <c r="N17" s="89"/>
      <c r="O17" s="89"/>
      <c r="P17" s="89"/>
      <c r="Q17" s="89"/>
    </row>
    <row r="18" spans="1:17" x14ac:dyDescent="0.35">
      <c r="A18" s="87" t="s">
        <v>25</v>
      </c>
      <c r="B18" s="87"/>
      <c r="C18" s="30" t="s">
        <v>7</v>
      </c>
      <c r="D18" s="30" t="s">
        <v>8</v>
      </c>
      <c r="E18" s="84"/>
      <c r="F18" s="85"/>
      <c r="G18" s="85"/>
      <c r="H18" s="85"/>
      <c r="I18" s="85"/>
      <c r="J18" s="86"/>
      <c r="K18" s="89"/>
      <c r="L18" s="89"/>
      <c r="M18" s="89"/>
      <c r="N18" s="89"/>
      <c r="O18" s="89"/>
      <c r="P18" s="89"/>
      <c r="Q18" s="89"/>
    </row>
    <row r="19" spans="1:17" x14ac:dyDescent="0.35">
      <c r="A19" s="77" t="s">
        <v>26</v>
      </c>
      <c r="B19" s="78"/>
      <c r="C19" s="32">
        <v>20</v>
      </c>
      <c r="D19" s="33">
        <f t="shared" ref="D19:D26" si="0">TRUNC($D$15*C19/100,2)</f>
        <v>339.3</v>
      </c>
      <c r="E19" s="69" t="s">
        <v>12</v>
      </c>
      <c r="F19" s="69"/>
      <c r="G19" s="69"/>
      <c r="H19" s="69"/>
      <c r="I19" s="69"/>
      <c r="J19" s="69"/>
      <c r="K19" s="127"/>
      <c r="L19" s="127"/>
      <c r="M19" s="127"/>
      <c r="N19" s="127"/>
      <c r="O19" s="127"/>
      <c r="P19" s="127"/>
      <c r="Q19" s="127"/>
    </row>
    <row r="20" spans="1:17" x14ac:dyDescent="0.35">
      <c r="A20" s="77" t="s">
        <v>27</v>
      </c>
      <c r="B20" s="78"/>
      <c r="C20" s="32">
        <v>8</v>
      </c>
      <c r="D20" s="33">
        <f t="shared" si="0"/>
        <v>135.72</v>
      </c>
      <c r="E20" s="69" t="s">
        <v>13</v>
      </c>
      <c r="F20" s="69"/>
      <c r="G20" s="69"/>
      <c r="H20" s="69"/>
      <c r="I20" s="69"/>
      <c r="J20" s="69"/>
      <c r="K20" s="127"/>
      <c r="L20" s="127"/>
      <c r="M20" s="127"/>
      <c r="N20" s="127"/>
      <c r="O20" s="127"/>
      <c r="P20" s="127"/>
      <c r="Q20" s="127"/>
    </row>
    <row r="21" spans="1:17" x14ac:dyDescent="0.35">
      <c r="A21" s="77" t="s">
        <v>28</v>
      </c>
      <c r="B21" s="78"/>
      <c r="C21" s="32">
        <v>1.5</v>
      </c>
      <c r="D21" s="33">
        <f t="shared" si="0"/>
        <v>25.44</v>
      </c>
      <c r="E21" s="69" t="s">
        <v>14</v>
      </c>
      <c r="F21" s="69"/>
      <c r="G21" s="69"/>
      <c r="H21" s="69"/>
      <c r="I21" s="69"/>
      <c r="J21" s="69"/>
      <c r="K21" s="127"/>
      <c r="L21" s="127"/>
      <c r="M21" s="127"/>
      <c r="N21" s="127"/>
      <c r="O21" s="127"/>
      <c r="P21" s="127"/>
      <c r="Q21" s="127"/>
    </row>
    <row r="22" spans="1:17" ht="26.5" customHeight="1" x14ac:dyDescent="0.35">
      <c r="A22" s="77" t="s">
        <v>29</v>
      </c>
      <c r="B22" s="78"/>
      <c r="C22" s="32">
        <v>1</v>
      </c>
      <c r="D22" s="33">
        <f t="shared" si="0"/>
        <v>16.96</v>
      </c>
      <c r="E22" s="69" t="s">
        <v>15</v>
      </c>
      <c r="F22" s="69"/>
      <c r="G22" s="69"/>
      <c r="H22" s="69"/>
      <c r="I22" s="69"/>
      <c r="J22" s="69"/>
      <c r="K22" s="127"/>
      <c r="L22" s="127"/>
      <c r="M22" s="127"/>
      <c r="N22" s="127"/>
      <c r="O22" s="127"/>
      <c r="P22" s="127"/>
      <c r="Q22" s="127"/>
    </row>
    <row r="23" spans="1:17" ht="28.5" customHeight="1" x14ac:dyDescent="0.35">
      <c r="A23" s="77" t="s">
        <v>30</v>
      </c>
      <c r="B23" s="78"/>
      <c r="C23" s="32">
        <v>0.2</v>
      </c>
      <c r="D23" s="33">
        <f t="shared" si="0"/>
        <v>3.39</v>
      </c>
      <c r="E23" s="69" t="s">
        <v>16</v>
      </c>
      <c r="F23" s="69"/>
      <c r="G23" s="69"/>
      <c r="H23" s="69"/>
      <c r="I23" s="69"/>
      <c r="J23" s="69"/>
      <c r="K23" s="127"/>
      <c r="L23" s="127"/>
      <c r="M23" s="127"/>
      <c r="N23" s="127"/>
      <c r="O23" s="127"/>
      <c r="P23" s="127"/>
      <c r="Q23" s="127"/>
    </row>
    <row r="24" spans="1:17" x14ac:dyDescent="0.35">
      <c r="A24" s="77" t="s">
        <v>31</v>
      </c>
      <c r="B24" s="78"/>
      <c r="C24" s="32">
        <v>0.6</v>
      </c>
      <c r="D24" s="33">
        <f t="shared" si="0"/>
        <v>10.17</v>
      </c>
      <c r="E24" s="69" t="s">
        <v>17</v>
      </c>
      <c r="F24" s="69"/>
      <c r="G24" s="69"/>
      <c r="H24" s="69"/>
      <c r="I24" s="69"/>
      <c r="J24" s="69"/>
      <c r="K24" s="127"/>
      <c r="L24" s="127"/>
      <c r="M24" s="127"/>
      <c r="N24" s="127"/>
      <c r="O24" s="127"/>
      <c r="P24" s="127"/>
      <c r="Q24" s="127"/>
    </row>
    <row r="25" spans="1:17" x14ac:dyDescent="0.35">
      <c r="A25" s="73" t="s">
        <v>32</v>
      </c>
      <c r="B25" s="74"/>
      <c r="C25" s="32">
        <v>2.5</v>
      </c>
      <c r="D25" s="33">
        <f t="shared" si="0"/>
        <v>42.41</v>
      </c>
      <c r="E25" s="69" t="s">
        <v>18</v>
      </c>
      <c r="F25" s="69"/>
      <c r="G25" s="69"/>
      <c r="H25" s="69"/>
      <c r="I25" s="69"/>
      <c r="J25" s="69"/>
      <c r="K25" s="127"/>
      <c r="L25" s="127"/>
      <c r="M25" s="127"/>
      <c r="N25" s="127"/>
      <c r="O25" s="127"/>
      <c r="P25" s="127"/>
      <c r="Q25" s="127"/>
    </row>
    <row r="26" spans="1:17" ht="39.75" customHeight="1" x14ac:dyDescent="0.35">
      <c r="A26" s="73" t="s">
        <v>33</v>
      </c>
      <c r="B26" s="74"/>
      <c r="C26" s="32">
        <v>6</v>
      </c>
      <c r="D26" s="33">
        <f t="shared" si="0"/>
        <v>101.79</v>
      </c>
      <c r="E26" s="69" t="s">
        <v>118</v>
      </c>
      <c r="F26" s="69"/>
      <c r="G26" s="69"/>
      <c r="H26" s="69"/>
      <c r="I26" s="69"/>
      <c r="J26" s="69"/>
      <c r="K26" s="127"/>
      <c r="L26" s="127"/>
      <c r="M26" s="127"/>
      <c r="N26" s="127"/>
      <c r="O26" s="127"/>
      <c r="P26" s="127"/>
      <c r="Q26" s="127"/>
    </row>
    <row r="27" spans="1:17" x14ac:dyDescent="0.35">
      <c r="A27" s="79" t="s">
        <v>34</v>
      </c>
      <c r="B27" s="80"/>
      <c r="C27" s="35">
        <f>SUM(C19:C26)</f>
        <v>39.799999999999997</v>
      </c>
      <c r="D27" s="34">
        <f>SUM(D19:D26)</f>
        <v>675.17999999999984</v>
      </c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</row>
    <row r="28" spans="1:17" x14ac:dyDescent="0.35">
      <c r="A28" s="36"/>
      <c r="B28" s="36"/>
      <c r="C28" s="37"/>
      <c r="D28" s="3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</row>
    <row r="29" spans="1:17" x14ac:dyDescent="0.35">
      <c r="A29" s="87" t="s">
        <v>36</v>
      </c>
      <c r="B29" s="87"/>
      <c r="C29" s="30" t="s">
        <v>7</v>
      </c>
      <c r="D29" s="30" t="s">
        <v>8</v>
      </c>
      <c r="E29" s="89" t="s">
        <v>22</v>
      </c>
      <c r="F29" s="89"/>
      <c r="G29" s="89"/>
      <c r="H29" s="89"/>
      <c r="I29" s="89"/>
      <c r="J29" s="89"/>
      <c r="K29" s="89" t="s">
        <v>52</v>
      </c>
      <c r="L29" s="89"/>
      <c r="M29" s="89"/>
      <c r="N29" s="89"/>
      <c r="O29" s="89"/>
      <c r="P29" s="89"/>
      <c r="Q29" s="89"/>
    </row>
    <row r="30" spans="1:17" ht="35" customHeight="1" x14ac:dyDescent="0.35">
      <c r="A30" s="73" t="s">
        <v>37</v>
      </c>
      <c r="B30" s="74"/>
      <c r="C30" s="32">
        <v>8.3330000000000002</v>
      </c>
      <c r="D30" s="33">
        <f t="shared" ref="D30:D37" si="1">TRUNC($D$15*C30/100,2)</f>
        <v>141.36000000000001</v>
      </c>
      <c r="E30" s="69" t="s">
        <v>20</v>
      </c>
      <c r="F30" s="69"/>
      <c r="G30" s="69"/>
      <c r="H30" s="69"/>
      <c r="I30" s="69"/>
      <c r="J30" s="69"/>
      <c r="K30" s="103" t="s">
        <v>190</v>
      </c>
      <c r="L30" s="103"/>
      <c r="M30" s="103"/>
      <c r="N30" s="103"/>
      <c r="O30" s="103"/>
      <c r="P30" s="103"/>
      <c r="Q30" s="103"/>
    </row>
    <row r="31" spans="1:17" ht="35" customHeight="1" x14ac:dyDescent="0.35">
      <c r="A31" s="77" t="s">
        <v>38</v>
      </c>
      <c r="B31" s="78"/>
      <c r="C31" s="32">
        <v>8.3330000000000002</v>
      </c>
      <c r="D31" s="33">
        <f t="shared" si="1"/>
        <v>141.36000000000001</v>
      </c>
      <c r="E31" s="70" t="s">
        <v>21</v>
      </c>
      <c r="F31" s="71"/>
      <c r="G31" s="71"/>
      <c r="H31" s="71"/>
      <c r="I31" s="71"/>
      <c r="J31" s="72"/>
      <c r="K31" s="103"/>
      <c r="L31" s="103"/>
      <c r="M31" s="103"/>
      <c r="N31" s="103"/>
      <c r="O31" s="103"/>
      <c r="P31" s="103"/>
      <c r="Q31" s="103"/>
    </row>
    <row r="32" spans="1:17" ht="35" customHeight="1" x14ac:dyDescent="0.35">
      <c r="A32" s="77" t="s">
        <v>39</v>
      </c>
      <c r="B32" s="78"/>
      <c r="C32" s="32">
        <v>1.944</v>
      </c>
      <c r="D32" s="33">
        <f t="shared" si="1"/>
        <v>32.97</v>
      </c>
      <c r="E32" s="70" t="s">
        <v>46</v>
      </c>
      <c r="F32" s="71"/>
      <c r="G32" s="71"/>
      <c r="H32" s="71"/>
      <c r="I32" s="71"/>
      <c r="J32" s="72"/>
      <c r="K32" s="103"/>
      <c r="L32" s="103"/>
      <c r="M32" s="103"/>
      <c r="N32" s="103"/>
      <c r="O32" s="103"/>
      <c r="P32" s="103"/>
      <c r="Q32" s="103"/>
    </row>
    <row r="33" spans="1:17" ht="35" customHeight="1" x14ac:dyDescent="0.35">
      <c r="A33" s="77" t="s">
        <v>40</v>
      </c>
      <c r="B33" s="78"/>
      <c r="C33" s="32">
        <v>0.222</v>
      </c>
      <c r="D33" s="33">
        <f t="shared" si="1"/>
        <v>3.76</v>
      </c>
      <c r="E33" s="70" t="s">
        <v>47</v>
      </c>
      <c r="F33" s="71"/>
      <c r="G33" s="71"/>
      <c r="H33" s="71"/>
      <c r="I33" s="71"/>
      <c r="J33" s="72"/>
      <c r="K33" s="103"/>
      <c r="L33" s="103"/>
      <c r="M33" s="103"/>
      <c r="N33" s="103"/>
      <c r="O33" s="103"/>
      <c r="P33" s="103"/>
      <c r="Q33" s="103"/>
    </row>
    <row r="34" spans="1:17" ht="35" customHeight="1" x14ac:dyDescent="0.35">
      <c r="A34" s="77" t="s">
        <v>41</v>
      </c>
      <c r="B34" s="78"/>
      <c r="C34" s="32">
        <v>5.0999999999999997E-2</v>
      </c>
      <c r="D34" s="33">
        <f t="shared" si="1"/>
        <v>0.86</v>
      </c>
      <c r="E34" s="70" t="s">
        <v>48</v>
      </c>
      <c r="F34" s="71"/>
      <c r="G34" s="71"/>
      <c r="H34" s="71"/>
      <c r="I34" s="71"/>
      <c r="J34" s="72"/>
      <c r="K34" s="103"/>
      <c r="L34" s="103"/>
      <c r="M34" s="103"/>
      <c r="N34" s="103"/>
      <c r="O34" s="103"/>
      <c r="P34" s="103"/>
      <c r="Q34" s="103"/>
    </row>
    <row r="35" spans="1:17" ht="35" customHeight="1" x14ac:dyDescent="0.35">
      <c r="A35" s="77" t="s">
        <v>42</v>
      </c>
      <c r="B35" s="78"/>
      <c r="C35" s="32">
        <v>0.41499999999999998</v>
      </c>
      <c r="D35" s="33">
        <f t="shared" si="1"/>
        <v>7.04</v>
      </c>
      <c r="E35" s="70" t="s">
        <v>49</v>
      </c>
      <c r="F35" s="71"/>
      <c r="G35" s="71"/>
      <c r="H35" s="71"/>
      <c r="I35" s="71"/>
      <c r="J35" s="72"/>
      <c r="K35" s="103"/>
      <c r="L35" s="103"/>
      <c r="M35" s="103"/>
      <c r="N35" s="103"/>
      <c r="O35" s="103"/>
      <c r="P35" s="103"/>
      <c r="Q35" s="103"/>
    </row>
    <row r="36" spans="1:17" ht="35" customHeight="1" x14ac:dyDescent="0.35">
      <c r="A36" s="77" t="s">
        <v>43</v>
      </c>
      <c r="B36" s="78"/>
      <c r="C36" s="32">
        <v>3.9E-2</v>
      </c>
      <c r="D36" s="33">
        <f t="shared" si="1"/>
        <v>0.66</v>
      </c>
      <c r="E36" s="70" t="s">
        <v>50</v>
      </c>
      <c r="F36" s="71"/>
      <c r="G36" s="71"/>
      <c r="H36" s="71"/>
      <c r="I36" s="71"/>
      <c r="J36" s="72"/>
      <c r="K36" s="103"/>
      <c r="L36" s="103"/>
      <c r="M36" s="103"/>
      <c r="N36" s="103"/>
      <c r="O36" s="103"/>
      <c r="P36" s="103"/>
      <c r="Q36" s="103"/>
    </row>
    <row r="37" spans="1:17" ht="35" customHeight="1" x14ac:dyDescent="0.35">
      <c r="A37" s="77" t="s">
        <v>44</v>
      </c>
      <c r="B37" s="78"/>
      <c r="C37" s="32">
        <v>0.02</v>
      </c>
      <c r="D37" s="33">
        <f t="shared" si="1"/>
        <v>0.33</v>
      </c>
      <c r="E37" s="70" t="s">
        <v>51</v>
      </c>
      <c r="F37" s="71"/>
      <c r="G37" s="71"/>
      <c r="H37" s="71"/>
      <c r="I37" s="71"/>
      <c r="J37" s="72"/>
      <c r="K37" s="103"/>
      <c r="L37" s="103"/>
      <c r="M37" s="103"/>
      <c r="N37" s="103"/>
      <c r="O37" s="103"/>
      <c r="P37" s="103"/>
      <c r="Q37" s="103"/>
    </row>
    <row r="38" spans="1:17" x14ac:dyDescent="0.35">
      <c r="A38" s="79" t="s">
        <v>45</v>
      </c>
      <c r="B38" s="80"/>
      <c r="C38" s="35">
        <f>SUM(C30:C37)</f>
        <v>19.356999999999999</v>
      </c>
      <c r="D38" s="34">
        <f>SUM(D30:D37)</f>
        <v>328.34000000000009</v>
      </c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</row>
    <row r="39" spans="1:17" x14ac:dyDescent="0.35">
      <c r="A39" s="36"/>
      <c r="B39" s="36"/>
      <c r="C39" s="39"/>
      <c r="D39" s="3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</row>
    <row r="40" spans="1:17" x14ac:dyDescent="0.35">
      <c r="A40" s="75" t="s">
        <v>53</v>
      </c>
      <c r="B40" s="76"/>
      <c r="C40" s="30" t="s">
        <v>7</v>
      </c>
      <c r="D40" s="30" t="s">
        <v>8</v>
      </c>
      <c r="E40" s="89" t="s">
        <v>22</v>
      </c>
      <c r="F40" s="89"/>
      <c r="G40" s="89"/>
      <c r="H40" s="89"/>
      <c r="I40" s="89"/>
      <c r="J40" s="89"/>
      <c r="K40" s="89" t="s">
        <v>52</v>
      </c>
      <c r="L40" s="89"/>
      <c r="M40" s="89"/>
      <c r="N40" s="89"/>
      <c r="O40" s="89"/>
      <c r="P40" s="89"/>
      <c r="Q40" s="89"/>
    </row>
    <row r="41" spans="1:17" ht="23.15" customHeight="1" x14ac:dyDescent="0.35">
      <c r="A41" s="77" t="s">
        <v>54</v>
      </c>
      <c r="B41" s="78"/>
      <c r="C41" s="32">
        <v>0.41699999999999998</v>
      </c>
      <c r="D41" s="33">
        <f>TRUNC($D$15*C41/100,2)</f>
        <v>7.07</v>
      </c>
      <c r="E41" s="69" t="s">
        <v>58</v>
      </c>
      <c r="F41" s="69"/>
      <c r="G41" s="69"/>
      <c r="H41" s="69"/>
      <c r="I41" s="69"/>
      <c r="J41" s="69"/>
      <c r="K41" s="103" t="s">
        <v>269</v>
      </c>
      <c r="L41" s="103"/>
      <c r="M41" s="103"/>
      <c r="N41" s="103"/>
      <c r="O41" s="103"/>
      <c r="P41" s="103"/>
      <c r="Q41" s="103"/>
    </row>
    <row r="42" spans="1:17" ht="23.15" customHeight="1" x14ac:dyDescent="0.35">
      <c r="A42" s="77" t="s">
        <v>55</v>
      </c>
      <c r="B42" s="78"/>
      <c r="C42" s="32">
        <v>0.28599999999999998</v>
      </c>
      <c r="D42" s="33">
        <f>TRUNC($D$15*C42/100,2)</f>
        <v>4.8499999999999996</v>
      </c>
      <c r="E42" s="69" t="s">
        <v>59</v>
      </c>
      <c r="F42" s="69"/>
      <c r="G42" s="69"/>
      <c r="H42" s="69"/>
      <c r="I42" s="69"/>
      <c r="J42" s="69"/>
      <c r="K42" s="103"/>
      <c r="L42" s="103"/>
      <c r="M42" s="103"/>
      <c r="N42" s="103"/>
      <c r="O42" s="103"/>
      <c r="P42" s="103"/>
      <c r="Q42" s="103"/>
    </row>
    <row r="43" spans="1:17" ht="23.15" customHeight="1" x14ac:dyDescent="0.35">
      <c r="A43" s="77" t="s">
        <v>56</v>
      </c>
      <c r="B43" s="78"/>
      <c r="C43" s="32">
        <v>3.2</v>
      </c>
      <c r="D43" s="33">
        <f>TRUNC($D$15*C43/100,2)</f>
        <v>54.28</v>
      </c>
      <c r="E43" s="69" t="s">
        <v>60</v>
      </c>
      <c r="F43" s="69"/>
      <c r="G43" s="69"/>
      <c r="H43" s="69"/>
      <c r="I43" s="69"/>
      <c r="J43" s="69"/>
      <c r="K43" s="103"/>
      <c r="L43" s="103"/>
      <c r="M43" s="103"/>
      <c r="N43" s="103"/>
      <c r="O43" s="103"/>
      <c r="P43" s="103"/>
      <c r="Q43" s="103"/>
    </row>
    <row r="44" spans="1:17" ht="23.15" customHeight="1" x14ac:dyDescent="0.35">
      <c r="A44" s="77" t="s">
        <v>187</v>
      </c>
      <c r="B44" s="78"/>
      <c r="C44" s="32">
        <v>2.778</v>
      </c>
      <c r="D44" s="33">
        <f>TRUNC($D$15*C44/100,2)</f>
        <v>47.12</v>
      </c>
      <c r="E44" s="69" t="s">
        <v>61</v>
      </c>
      <c r="F44" s="69"/>
      <c r="G44" s="69"/>
      <c r="H44" s="69"/>
      <c r="I44" s="69"/>
      <c r="J44" s="69"/>
      <c r="K44" s="103"/>
      <c r="L44" s="103"/>
      <c r="M44" s="103"/>
      <c r="N44" s="103"/>
      <c r="O44" s="103"/>
      <c r="P44" s="103"/>
      <c r="Q44" s="103"/>
    </row>
    <row r="45" spans="1:17" ht="23.15" customHeight="1" x14ac:dyDescent="0.35">
      <c r="A45" s="77" t="s">
        <v>188</v>
      </c>
      <c r="B45" s="78"/>
      <c r="C45" s="32">
        <v>1.2999999999999999E-2</v>
      </c>
      <c r="D45" s="33">
        <f>TRUNC($D$15*C45/100,2)</f>
        <v>0.22</v>
      </c>
      <c r="E45" s="69" t="s">
        <v>62</v>
      </c>
      <c r="F45" s="69"/>
      <c r="G45" s="69"/>
      <c r="H45" s="69"/>
      <c r="I45" s="69"/>
      <c r="J45" s="69"/>
      <c r="K45" s="103"/>
      <c r="L45" s="103"/>
      <c r="M45" s="103"/>
      <c r="N45" s="103"/>
      <c r="O45" s="103"/>
      <c r="P45" s="103"/>
      <c r="Q45" s="103"/>
    </row>
    <row r="46" spans="1:17" x14ac:dyDescent="0.35">
      <c r="A46" s="79" t="s">
        <v>57</v>
      </c>
      <c r="B46" s="80"/>
      <c r="C46" s="35">
        <f>SUM(C41:C45)</f>
        <v>6.694</v>
      </c>
      <c r="D46" s="34">
        <f>SUM(D41:D45)</f>
        <v>113.53999999999999</v>
      </c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</row>
    <row r="47" spans="1:17" x14ac:dyDescent="0.35">
      <c r="A47" s="36"/>
      <c r="B47" s="36"/>
      <c r="C47" s="39"/>
      <c r="D47" s="3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</row>
    <row r="48" spans="1:17" x14ac:dyDescent="0.35">
      <c r="A48" s="75" t="s">
        <v>63</v>
      </c>
      <c r="B48" s="76"/>
      <c r="C48" s="30" t="s">
        <v>7</v>
      </c>
      <c r="D48" s="30" t="s">
        <v>8</v>
      </c>
      <c r="E48" s="89" t="s">
        <v>22</v>
      </c>
      <c r="F48" s="89"/>
      <c r="G48" s="89"/>
      <c r="H48" s="89"/>
      <c r="I48" s="89"/>
      <c r="J48" s="89"/>
      <c r="K48" s="28"/>
      <c r="L48" s="28"/>
      <c r="M48" s="28"/>
      <c r="N48" s="28"/>
      <c r="O48" s="28"/>
      <c r="P48" s="28"/>
      <c r="Q48" s="28"/>
    </row>
    <row r="49" spans="1:17" x14ac:dyDescent="0.35">
      <c r="A49" s="77" t="s">
        <v>64</v>
      </c>
      <c r="B49" s="78"/>
      <c r="C49" s="32">
        <f>ROUND((C27/100)*(C38/100)*100,3)</f>
        <v>7.7039999999999997</v>
      </c>
      <c r="D49" s="33">
        <f>TRUNC($D$15*C49/100,2)</f>
        <v>130.69</v>
      </c>
      <c r="E49" s="69" t="s">
        <v>267</v>
      </c>
      <c r="F49" s="69"/>
      <c r="G49" s="69"/>
      <c r="H49" s="69"/>
      <c r="I49" s="69"/>
      <c r="J49" s="69"/>
      <c r="K49" s="28"/>
      <c r="L49" s="28"/>
      <c r="M49" s="28"/>
      <c r="N49" s="28"/>
      <c r="O49" s="28"/>
      <c r="P49" s="28"/>
      <c r="Q49" s="28"/>
    </row>
    <row r="50" spans="1:17" x14ac:dyDescent="0.35">
      <c r="A50" s="79" t="s">
        <v>65</v>
      </c>
      <c r="B50" s="80"/>
      <c r="C50" s="35">
        <f>SUM(C49)</f>
        <v>7.7039999999999997</v>
      </c>
      <c r="D50" s="34">
        <f>SUM(D49)</f>
        <v>130.69</v>
      </c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</row>
    <row r="51" spans="1:17" x14ac:dyDescent="0.35">
      <c r="A51" s="36"/>
      <c r="B51" s="36"/>
      <c r="C51" s="39"/>
      <c r="D51" s="3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</row>
    <row r="52" spans="1:17" x14ac:dyDescent="0.35">
      <c r="A52" s="75" t="s">
        <v>66</v>
      </c>
      <c r="B52" s="76"/>
      <c r="C52" s="30" t="s">
        <v>7</v>
      </c>
      <c r="D52" s="30" t="s">
        <v>8</v>
      </c>
      <c r="E52" s="89" t="s">
        <v>22</v>
      </c>
      <c r="F52" s="89"/>
      <c r="G52" s="89"/>
      <c r="H52" s="89"/>
      <c r="I52" s="89"/>
      <c r="J52" s="89"/>
      <c r="K52" s="89" t="s">
        <v>52</v>
      </c>
      <c r="L52" s="89"/>
      <c r="M52" s="89"/>
      <c r="N52" s="89"/>
      <c r="O52" s="89"/>
      <c r="P52" s="89"/>
      <c r="Q52" s="89"/>
    </row>
    <row r="53" spans="1:17" ht="28.5" customHeight="1" x14ac:dyDescent="0.35">
      <c r="A53" s="77" t="s">
        <v>67</v>
      </c>
      <c r="B53" s="78"/>
      <c r="C53" s="32">
        <v>3.3000000000000002E-2</v>
      </c>
      <c r="D53" s="33">
        <f>TRUNC($D$15*C53/100,2)</f>
        <v>0.55000000000000004</v>
      </c>
      <c r="E53" s="69" t="s">
        <v>71</v>
      </c>
      <c r="F53" s="69"/>
      <c r="G53" s="69"/>
      <c r="H53" s="69"/>
      <c r="I53" s="69"/>
      <c r="J53" s="69"/>
      <c r="K53" s="129" t="s">
        <v>72</v>
      </c>
      <c r="L53" s="129"/>
      <c r="M53" s="129"/>
      <c r="N53" s="129"/>
      <c r="O53" s="129"/>
      <c r="P53" s="129"/>
      <c r="Q53" s="129"/>
    </row>
    <row r="54" spans="1:17" ht="38.5" customHeight="1" x14ac:dyDescent="0.35">
      <c r="A54" s="77" t="s">
        <v>68</v>
      </c>
      <c r="B54" s="78"/>
      <c r="C54" s="32">
        <v>4.0000000000000001E-3</v>
      </c>
      <c r="D54" s="33">
        <f>TRUNC($D$15*C54/100,2)</f>
        <v>0.06</v>
      </c>
      <c r="E54" s="69" t="s">
        <v>197</v>
      </c>
      <c r="F54" s="69"/>
      <c r="G54" s="69"/>
      <c r="H54" s="69"/>
      <c r="I54" s="69"/>
      <c r="J54" s="69"/>
      <c r="K54" s="129"/>
      <c r="L54" s="129"/>
      <c r="M54" s="129"/>
      <c r="N54" s="129"/>
      <c r="O54" s="129"/>
      <c r="P54" s="129"/>
      <c r="Q54" s="129"/>
    </row>
    <row r="55" spans="1:17" ht="30.75" customHeight="1" x14ac:dyDescent="0.35">
      <c r="A55" s="77" t="s">
        <v>69</v>
      </c>
      <c r="B55" s="78"/>
      <c r="C55" s="32">
        <v>0.222</v>
      </c>
      <c r="D55" s="33">
        <f>TRUNC($D$15*C55/100,2)</f>
        <v>3.76</v>
      </c>
      <c r="E55" s="69" t="s">
        <v>198</v>
      </c>
      <c r="F55" s="69"/>
      <c r="G55" s="69"/>
      <c r="H55" s="69"/>
      <c r="I55" s="69"/>
      <c r="J55" s="69"/>
      <c r="K55" s="129"/>
      <c r="L55" s="129"/>
      <c r="M55" s="129"/>
      <c r="N55" s="129"/>
      <c r="O55" s="129"/>
      <c r="P55" s="129"/>
      <c r="Q55" s="129"/>
    </row>
    <row r="56" spans="1:17" x14ac:dyDescent="0.35">
      <c r="A56" s="79" t="s">
        <v>70</v>
      </c>
      <c r="B56" s="80"/>
      <c r="C56" s="35">
        <f>SUM(C53:C55)</f>
        <v>0.25900000000000001</v>
      </c>
      <c r="D56" s="34">
        <f>SUM(D53:D55)</f>
        <v>4.37</v>
      </c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</row>
    <row r="57" spans="1:17" x14ac:dyDescent="0.35">
      <c r="A57" s="36"/>
      <c r="B57" s="36"/>
      <c r="C57" s="39"/>
      <c r="D57" s="3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</row>
    <row r="58" spans="1:17" x14ac:dyDescent="0.35">
      <c r="A58" s="75" t="s">
        <v>73</v>
      </c>
      <c r="B58" s="76"/>
      <c r="C58" s="30" t="s">
        <v>7</v>
      </c>
      <c r="D58" s="30" t="s">
        <v>8</v>
      </c>
      <c r="E58" s="89" t="s">
        <v>22</v>
      </c>
      <c r="F58" s="89"/>
      <c r="G58" s="89"/>
      <c r="H58" s="89"/>
      <c r="I58" s="89"/>
      <c r="J58" s="89"/>
      <c r="K58" s="28"/>
      <c r="L58" s="28"/>
      <c r="M58" s="28"/>
      <c r="N58" s="28"/>
      <c r="O58" s="28"/>
      <c r="P58" s="28"/>
      <c r="Q58" s="28"/>
    </row>
    <row r="59" spans="1:17" ht="92" customHeight="1" x14ac:dyDescent="0.35">
      <c r="A59" s="77" t="s">
        <v>74</v>
      </c>
      <c r="B59" s="78"/>
      <c r="C59" s="32">
        <f>ROUND((C27/100)*(4/12)*(2/100)*100,3)</f>
        <v>0.26500000000000001</v>
      </c>
      <c r="D59" s="33">
        <f>TRUNC($D$15*C59/100,2)</f>
        <v>4.49</v>
      </c>
      <c r="E59" s="120" t="s">
        <v>268</v>
      </c>
      <c r="F59" s="120"/>
      <c r="G59" s="120"/>
      <c r="H59" s="120"/>
      <c r="I59" s="120"/>
      <c r="J59" s="120"/>
      <c r="K59" s="28"/>
      <c r="L59" s="28"/>
      <c r="M59" s="28"/>
      <c r="N59" s="28"/>
      <c r="O59" s="28"/>
      <c r="P59" s="28"/>
      <c r="Q59" s="28"/>
    </row>
    <row r="60" spans="1:17" x14ac:dyDescent="0.35">
      <c r="A60" s="79" t="s">
        <v>75</v>
      </c>
      <c r="B60" s="80"/>
      <c r="C60" s="35">
        <f>SUM(C59)</f>
        <v>0.26500000000000001</v>
      </c>
      <c r="D60" s="34">
        <f>SUM(D59)</f>
        <v>4.49</v>
      </c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</row>
    <row r="61" spans="1:17" x14ac:dyDescent="0.35">
      <c r="A61" s="79" t="s">
        <v>76</v>
      </c>
      <c r="B61" s="80"/>
      <c r="C61" s="35">
        <f>C27+C38+C46+C50+C56+C60</f>
        <v>74.078999999999994</v>
      </c>
      <c r="D61" s="34">
        <f>D27+D38+D46+D50+D56+D60</f>
        <v>1256.6099999999999</v>
      </c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</row>
    <row r="62" spans="1:17" ht="15" customHeight="1" x14ac:dyDescent="0.35">
      <c r="A62" s="36"/>
      <c r="B62" s="36"/>
      <c r="C62" s="39"/>
      <c r="D62" s="3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</row>
    <row r="63" spans="1:17" ht="15" customHeight="1" x14ac:dyDescent="0.35">
      <c r="A63" s="79" t="s">
        <v>77</v>
      </c>
      <c r="B63" s="104"/>
      <c r="C63" s="80"/>
      <c r="D63" s="34">
        <f>D15+D61</f>
        <v>2953.1099999999997</v>
      </c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</row>
    <row r="64" spans="1:17" ht="15" customHeight="1" x14ac:dyDescent="0.35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</row>
    <row r="65" spans="1:17" ht="15" customHeight="1" x14ac:dyDescent="0.35">
      <c r="A65" s="89" t="s">
        <v>78</v>
      </c>
      <c r="B65" s="89"/>
      <c r="C65" s="89"/>
      <c r="D65" s="89"/>
      <c r="E65" s="89" t="s">
        <v>22</v>
      </c>
      <c r="F65" s="89"/>
      <c r="G65" s="89"/>
      <c r="H65" s="89"/>
      <c r="I65" s="89"/>
      <c r="J65" s="89"/>
      <c r="K65" s="89" t="s">
        <v>52</v>
      </c>
      <c r="L65" s="89"/>
      <c r="M65" s="89"/>
      <c r="N65" s="89"/>
      <c r="O65" s="89"/>
      <c r="P65" s="89"/>
      <c r="Q65" s="89"/>
    </row>
    <row r="66" spans="1:17" x14ac:dyDescent="0.35">
      <c r="A66" s="101" t="s">
        <v>79</v>
      </c>
      <c r="B66" s="112"/>
      <c r="C66" s="102"/>
      <c r="D66" s="40" t="s">
        <v>8</v>
      </c>
      <c r="E66" s="89"/>
      <c r="F66" s="89"/>
      <c r="G66" s="89"/>
      <c r="H66" s="89"/>
      <c r="I66" s="89"/>
      <c r="J66" s="89"/>
      <c r="K66" s="89"/>
      <c r="L66" s="89"/>
      <c r="M66" s="89"/>
      <c r="N66" s="89"/>
      <c r="O66" s="89"/>
      <c r="P66" s="89"/>
      <c r="Q66" s="89"/>
    </row>
    <row r="67" spans="1:17" ht="143.25" customHeight="1" x14ac:dyDescent="0.35">
      <c r="A67" s="73" t="s">
        <v>109</v>
      </c>
      <c r="B67" s="116"/>
      <c r="C67" s="74"/>
      <c r="D67" s="31">
        <f>24*15</f>
        <v>360</v>
      </c>
      <c r="E67" s="120" t="s">
        <v>119</v>
      </c>
      <c r="F67" s="120"/>
      <c r="G67" s="120"/>
      <c r="H67" s="120"/>
      <c r="I67" s="120"/>
      <c r="J67" s="120"/>
      <c r="K67" s="127"/>
      <c r="L67" s="127"/>
      <c r="M67" s="127"/>
      <c r="N67" s="127"/>
      <c r="O67" s="127"/>
      <c r="P67" s="127"/>
      <c r="Q67" s="127"/>
    </row>
    <row r="68" spans="1:17" ht="68.25" customHeight="1" x14ac:dyDescent="0.35">
      <c r="A68" s="117" t="s">
        <v>124</v>
      </c>
      <c r="B68" s="118"/>
      <c r="C68" s="119"/>
      <c r="D68" s="41">
        <f>(D67*5%)*-1</f>
        <v>-18</v>
      </c>
      <c r="E68" s="120" t="s">
        <v>189</v>
      </c>
      <c r="F68" s="120"/>
      <c r="G68" s="120"/>
      <c r="H68" s="120"/>
      <c r="I68" s="120"/>
      <c r="J68" s="120"/>
      <c r="K68" s="127"/>
      <c r="L68" s="127"/>
      <c r="M68" s="127"/>
      <c r="N68" s="127"/>
      <c r="O68" s="127"/>
      <c r="P68" s="127"/>
      <c r="Q68" s="127"/>
    </row>
    <row r="69" spans="1:17" ht="48" customHeight="1" x14ac:dyDescent="0.35">
      <c r="A69" s="73" t="s">
        <v>81</v>
      </c>
      <c r="B69" s="116"/>
      <c r="C69" s="74"/>
      <c r="D69" s="33">
        <f>3.8*2*15</f>
        <v>114</v>
      </c>
      <c r="E69" s="120" t="s">
        <v>120</v>
      </c>
      <c r="F69" s="120"/>
      <c r="G69" s="120"/>
      <c r="H69" s="120"/>
      <c r="I69" s="120"/>
      <c r="J69" s="120"/>
      <c r="K69" s="127"/>
      <c r="L69" s="127"/>
      <c r="M69" s="127"/>
      <c r="N69" s="127"/>
      <c r="O69" s="127"/>
      <c r="P69" s="127"/>
      <c r="Q69" s="127"/>
    </row>
    <row r="70" spans="1:17" ht="62.25" customHeight="1" x14ac:dyDescent="0.35">
      <c r="A70" s="121" t="s">
        <v>82</v>
      </c>
      <c r="B70" s="122"/>
      <c r="C70" s="123"/>
      <c r="D70" s="42">
        <f>(($D$13*6%)*-1)</f>
        <v>-78.3</v>
      </c>
      <c r="E70" s="120" t="s">
        <v>121</v>
      </c>
      <c r="F70" s="120"/>
      <c r="G70" s="120"/>
      <c r="H70" s="120"/>
      <c r="I70" s="120"/>
      <c r="J70" s="120"/>
      <c r="K70" s="127"/>
      <c r="L70" s="127"/>
      <c r="M70" s="127"/>
      <c r="N70" s="127"/>
      <c r="O70" s="127"/>
      <c r="P70" s="127"/>
      <c r="Q70" s="127"/>
    </row>
    <row r="71" spans="1:17" ht="39.75" customHeight="1" x14ac:dyDescent="0.35">
      <c r="A71" s="113" t="s">
        <v>122</v>
      </c>
      <c r="B71" s="114"/>
      <c r="C71" s="115"/>
      <c r="D71" s="43">
        <v>104.3</v>
      </c>
      <c r="E71" s="120" t="s">
        <v>123</v>
      </c>
      <c r="F71" s="120"/>
      <c r="G71" s="120"/>
      <c r="H71" s="120"/>
      <c r="I71" s="120"/>
      <c r="J71" s="120"/>
      <c r="K71" s="127"/>
      <c r="L71" s="127"/>
      <c r="M71" s="127"/>
      <c r="N71" s="127"/>
      <c r="O71" s="127"/>
      <c r="P71" s="127"/>
      <c r="Q71" s="127"/>
    </row>
    <row r="72" spans="1:17" ht="52.5" customHeight="1" x14ac:dyDescent="0.35">
      <c r="A72" s="121" t="s">
        <v>125</v>
      </c>
      <c r="B72" s="122"/>
      <c r="C72" s="123"/>
      <c r="D72" s="42">
        <v>-1</v>
      </c>
      <c r="E72" s="120" t="s">
        <v>126</v>
      </c>
      <c r="F72" s="120"/>
      <c r="G72" s="120"/>
      <c r="H72" s="120"/>
      <c r="I72" s="120"/>
      <c r="J72" s="120"/>
      <c r="K72" s="127"/>
      <c r="L72" s="127"/>
      <c r="M72" s="127"/>
      <c r="N72" s="127"/>
      <c r="O72" s="127"/>
      <c r="P72" s="127"/>
      <c r="Q72" s="127"/>
    </row>
    <row r="73" spans="1:17" ht="25.5" customHeight="1" x14ac:dyDescent="0.35">
      <c r="A73" s="113" t="s">
        <v>80</v>
      </c>
      <c r="B73" s="114"/>
      <c r="C73" s="115"/>
      <c r="D73" s="31">
        <f>'Uniforme Vigilante'!H32:H32</f>
        <v>82.270833333333343</v>
      </c>
      <c r="E73" s="120" t="s">
        <v>179</v>
      </c>
      <c r="F73" s="120"/>
      <c r="G73" s="120"/>
      <c r="H73" s="120"/>
      <c r="I73" s="120"/>
      <c r="J73" s="120"/>
      <c r="K73" s="127"/>
      <c r="L73" s="127"/>
      <c r="M73" s="127"/>
      <c r="N73" s="127"/>
      <c r="O73" s="127"/>
      <c r="P73" s="127"/>
      <c r="Q73" s="127"/>
    </row>
    <row r="74" spans="1:17" ht="25.5" customHeight="1" x14ac:dyDescent="0.35">
      <c r="A74" s="113" t="s">
        <v>154</v>
      </c>
      <c r="B74" s="114"/>
      <c r="C74" s="115"/>
      <c r="D74" s="31">
        <f>'Manut. Depre. Munição Vigilante'!J21:J21</f>
        <v>42.854181466666667</v>
      </c>
      <c r="E74" s="120" t="s">
        <v>183</v>
      </c>
      <c r="F74" s="120"/>
      <c r="G74" s="120"/>
      <c r="H74" s="120"/>
      <c r="I74" s="120"/>
      <c r="J74" s="120"/>
      <c r="K74" s="127"/>
      <c r="L74" s="127"/>
      <c r="M74" s="127"/>
      <c r="N74" s="127"/>
      <c r="O74" s="127"/>
      <c r="P74" s="127"/>
      <c r="Q74" s="127"/>
    </row>
    <row r="75" spans="1:17" ht="15" customHeight="1" x14ac:dyDescent="0.35">
      <c r="A75" s="88" t="s">
        <v>83</v>
      </c>
      <c r="B75" s="88"/>
      <c r="C75" s="88"/>
      <c r="D75" s="34">
        <f>SUM(D67:D74)</f>
        <v>606.12501480000003</v>
      </c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</row>
    <row r="76" spans="1:17" ht="15" customHeight="1" x14ac:dyDescent="0.35">
      <c r="A76" s="36"/>
      <c r="B76" s="36"/>
      <c r="C76" s="36"/>
      <c r="D76" s="3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</row>
    <row r="77" spans="1:17" ht="30" customHeight="1" x14ac:dyDescent="0.35">
      <c r="A77" s="79" t="s">
        <v>85</v>
      </c>
      <c r="B77" s="104"/>
      <c r="C77" s="80"/>
      <c r="D77" s="34">
        <f>D63+D75</f>
        <v>3559.2350147999996</v>
      </c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</row>
    <row r="78" spans="1:17" x14ac:dyDescent="0.35">
      <c r="A78" s="36"/>
      <c r="B78" s="36"/>
      <c r="C78" s="36"/>
      <c r="D78" s="3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</row>
    <row r="79" spans="1:17" x14ac:dyDescent="0.35">
      <c r="A79" s="89" t="s">
        <v>158</v>
      </c>
      <c r="B79" s="89"/>
      <c r="C79" s="89"/>
      <c r="D79" s="89"/>
      <c r="E79" s="89" t="s">
        <v>22</v>
      </c>
      <c r="F79" s="89"/>
      <c r="G79" s="89"/>
      <c r="H79" s="89"/>
      <c r="I79" s="89"/>
      <c r="J79" s="89"/>
      <c r="K79" s="89" t="s">
        <v>52</v>
      </c>
      <c r="L79" s="89"/>
      <c r="M79" s="89"/>
      <c r="N79" s="89"/>
      <c r="O79" s="89"/>
      <c r="P79" s="89"/>
      <c r="Q79" s="89"/>
    </row>
    <row r="80" spans="1:17" ht="14.5" customHeight="1" x14ac:dyDescent="0.35">
      <c r="A80" s="75" t="s">
        <v>115</v>
      </c>
      <c r="B80" s="125"/>
      <c r="C80" s="76"/>
      <c r="D80" s="30" t="s">
        <v>8</v>
      </c>
      <c r="E80" s="89"/>
      <c r="F80" s="89"/>
      <c r="G80" s="89"/>
      <c r="H80" s="89"/>
      <c r="I80" s="89"/>
      <c r="J80" s="89"/>
      <c r="K80" s="89"/>
      <c r="L80" s="89"/>
      <c r="M80" s="89"/>
      <c r="N80" s="89"/>
      <c r="O80" s="89"/>
      <c r="P80" s="89"/>
      <c r="Q80" s="89"/>
    </row>
    <row r="81" spans="1:17" ht="50.25" customHeight="1" x14ac:dyDescent="0.35">
      <c r="A81" s="77" t="s">
        <v>115</v>
      </c>
      <c r="B81" s="124"/>
      <c r="C81" s="78"/>
      <c r="D81" s="33">
        <f>TRUNC((D13+D14)/192*1.5*15,2)</f>
        <v>198.8</v>
      </c>
      <c r="E81" s="69" t="s">
        <v>116</v>
      </c>
      <c r="F81" s="69"/>
      <c r="G81" s="69"/>
      <c r="H81" s="69"/>
      <c r="I81" s="69"/>
      <c r="J81" s="69"/>
      <c r="K81" s="127" t="s">
        <v>245</v>
      </c>
      <c r="L81" s="127"/>
      <c r="M81" s="127"/>
      <c r="N81" s="127"/>
      <c r="O81" s="127"/>
      <c r="P81" s="127"/>
      <c r="Q81" s="127"/>
    </row>
    <row r="82" spans="1:17" ht="15" customHeight="1" x14ac:dyDescent="0.35">
      <c r="A82" s="88" t="s">
        <v>159</v>
      </c>
      <c r="B82" s="88"/>
      <c r="C82" s="88"/>
      <c r="D82" s="34">
        <f>D81</f>
        <v>198.8</v>
      </c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</row>
    <row r="83" spans="1:17" x14ac:dyDescent="0.35">
      <c r="A83" s="36"/>
      <c r="B83" s="36"/>
      <c r="C83" s="36"/>
      <c r="D83" s="3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</row>
    <row r="84" spans="1:17" ht="30" customHeight="1" x14ac:dyDescent="0.35">
      <c r="A84" s="79" t="s">
        <v>157</v>
      </c>
      <c r="B84" s="104"/>
      <c r="C84" s="80"/>
      <c r="D84" s="34">
        <f>D77+D82</f>
        <v>3758.0350147999998</v>
      </c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</row>
    <row r="85" spans="1:17" x14ac:dyDescent="0.35">
      <c r="A85" s="36"/>
      <c r="B85" s="36"/>
      <c r="C85" s="36"/>
      <c r="D85" s="3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</row>
    <row r="86" spans="1:17" x14ac:dyDescent="0.35">
      <c r="A86" s="89" t="s">
        <v>160</v>
      </c>
      <c r="B86" s="89"/>
      <c r="C86" s="89"/>
      <c r="D86" s="89"/>
      <c r="E86" s="89" t="s">
        <v>22</v>
      </c>
      <c r="F86" s="89"/>
      <c r="G86" s="89"/>
      <c r="H86" s="89"/>
      <c r="I86" s="89"/>
      <c r="J86" s="89"/>
      <c r="K86" s="89" t="s">
        <v>52</v>
      </c>
      <c r="L86" s="89"/>
      <c r="M86" s="89"/>
      <c r="N86" s="89"/>
      <c r="O86" s="89"/>
      <c r="P86" s="89"/>
      <c r="Q86" s="89"/>
    </row>
    <row r="87" spans="1:17" x14ac:dyDescent="0.35">
      <c r="A87" s="75" t="s">
        <v>86</v>
      </c>
      <c r="B87" s="76"/>
      <c r="C87" s="30" t="s">
        <v>7</v>
      </c>
      <c r="D87" s="30" t="s">
        <v>8</v>
      </c>
      <c r="E87" s="89"/>
      <c r="F87" s="89"/>
      <c r="G87" s="89"/>
      <c r="H87" s="89"/>
      <c r="I87" s="89"/>
      <c r="J87" s="89"/>
      <c r="K87" s="89"/>
      <c r="L87" s="89"/>
      <c r="M87" s="89"/>
      <c r="N87" s="89"/>
      <c r="O87" s="89"/>
      <c r="P87" s="89"/>
      <c r="Q87" s="89"/>
    </row>
    <row r="88" spans="1:17" s="1" customFormat="1" ht="30" customHeight="1" x14ac:dyDescent="0.3">
      <c r="A88" s="77" t="s">
        <v>87</v>
      </c>
      <c r="B88" s="78"/>
      <c r="C88" s="33">
        <v>5</v>
      </c>
      <c r="D88" s="44">
        <f>$D$84*C88%</f>
        <v>187.90175074000001</v>
      </c>
      <c r="E88" s="105" t="s">
        <v>247</v>
      </c>
      <c r="F88" s="106"/>
      <c r="G88" s="106"/>
      <c r="H88" s="106"/>
      <c r="I88" s="106"/>
      <c r="J88" s="107"/>
      <c r="K88" s="127"/>
      <c r="L88" s="127"/>
      <c r="M88" s="127"/>
      <c r="N88" s="127"/>
      <c r="O88" s="127"/>
      <c r="P88" s="127"/>
      <c r="Q88" s="127"/>
    </row>
    <row r="89" spans="1:17" s="1" customFormat="1" ht="30" customHeight="1" x14ac:dyDescent="0.3">
      <c r="A89" s="77" t="s">
        <v>11</v>
      </c>
      <c r="B89" s="78"/>
      <c r="C89" s="33">
        <v>10</v>
      </c>
      <c r="D89" s="44">
        <f>(D84+D88)*C89%</f>
        <v>394.59367655400001</v>
      </c>
      <c r="E89" s="108"/>
      <c r="F89" s="109"/>
      <c r="G89" s="109"/>
      <c r="H89" s="109"/>
      <c r="I89" s="109"/>
      <c r="J89" s="110"/>
      <c r="K89" s="127"/>
      <c r="L89" s="127"/>
      <c r="M89" s="127"/>
      <c r="N89" s="127"/>
      <c r="O89" s="127"/>
      <c r="P89" s="127"/>
      <c r="Q89" s="127"/>
    </row>
    <row r="90" spans="1:17" x14ac:dyDescent="0.35">
      <c r="A90" s="79" t="s">
        <v>88</v>
      </c>
      <c r="B90" s="80"/>
      <c r="C90" s="45">
        <f>SUM(C88:C89)</f>
        <v>15</v>
      </c>
      <c r="D90" s="34">
        <f>SUM(D88:D89)</f>
        <v>582.49542729400002</v>
      </c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</row>
    <row r="91" spans="1:17" x14ac:dyDescent="0.35">
      <c r="A91" s="36"/>
      <c r="B91" s="36"/>
      <c r="C91" s="37"/>
      <c r="D91" s="3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</row>
    <row r="92" spans="1:17" ht="30" customHeight="1" x14ac:dyDescent="0.35">
      <c r="A92" s="79" t="s">
        <v>161</v>
      </c>
      <c r="B92" s="104"/>
      <c r="C92" s="80"/>
      <c r="D92" s="34">
        <f>D84+D90</f>
        <v>4340.5304420940001</v>
      </c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</row>
    <row r="93" spans="1:17" x14ac:dyDescent="0.35">
      <c r="A93" s="36"/>
      <c r="B93" s="36"/>
      <c r="C93" s="36"/>
      <c r="D93" s="3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</row>
    <row r="94" spans="1:17" ht="35.25" customHeight="1" x14ac:dyDescent="0.35">
      <c r="A94" s="126" t="s">
        <v>111</v>
      </c>
      <c r="B94" s="126"/>
      <c r="C94" s="46">
        <f>(-1+(SUM(C97:C99)/100))*(-1)</f>
        <v>0.91349999999999998</v>
      </c>
      <c r="D94" s="34">
        <f>D92/C94</f>
        <v>4751.5385244597701</v>
      </c>
      <c r="E94" s="127"/>
      <c r="F94" s="127"/>
      <c r="G94" s="127"/>
      <c r="H94" s="127"/>
      <c r="I94" s="127"/>
      <c r="J94" s="28"/>
      <c r="K94" s="28"/>
      <c r="L94" s="28"/>
      <c r="M94" s="28"/>
      <c r="N94" s="28"/>
      <c r="O94" s="28"/>
      <c r="P94" s="28"/>
      <c r="Q94" s="28"/>
    </row>
    <row r="95" spans="1:17" x14ac:dyDescent="0.35">
      <c r="A95" s="28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</row>
    <row r="96" spans="1:17" x14ac:dyDescent="0.35">
      <c r="A96" s="75" t="s">
        <v>89</v>
      </c>
      <c r="B96" s="76"/>
      <c r="C96" s="30" t="s">
        <v>7</v>
      </c>
      <c r="D96" s="30" t="s">
        <v>8</v>
      </c>
      <c r="E96" s="89" t="s">
        <v>22</v>
      </c>
      <c r="F96" s="89"/>
      <c r="G96" s="89"/>
      <c r="H96" s="89"/>
      <c r="I96" s="89"/>
      <c r="J96" s="89"/>
      <c r="K96" s="89" t="s">
        <v>52</v>
      </c>
      <c r="L96" s="89"/>
      <c r="M96" s="89"/>
      <c r="N96" s="89"/>
      <c r="O96" s="89"/>
      <c r="P96" s="89"/>
      <c r="Q96" s="89"/>
    </row>
    <row r="97" spans="1:17" ht="22" customHeight="1" x14ac:dyDescent="0.35">
      <c r="A97" s="77" t="s">
        <v>90</v>
      </c>
      <c r="B97" s="78"/>
      <c r="C97" s="33">
        <v>5</v>
      </c>
      <c r="D97" s="33">
        <f>$D$94*C97%</f>
        <v>237.5769262229885</v>
      </c>
      <c r="E97" s="111" t="s">
        <v>248</v>
      </c>
      <c r="F97" s="111"/>
      <c r="G97" s="111"/>
      <c r="H97" s="111"/>
      <c r="I97" s="111"/>
      <c r="J97" s="111"/>
      <c r="K97" s="103"/>
      <c r="L97" s="103"/>
      <c r="M97" s="103"/>
      <c r="N97" s="103"/>
      <c r="O97" s="103"/>
      <c r="P97" s="103"/>
      <c r="Q97" s="103"/>
    </row>
    <row r="98" spans="1:17" ht="22" customHeight="1" x14ac:dyDescent="0.35">
      <c r="A98" s="77" t="s">
        <v>91</v>
      </c>
      <c r="B98" s="78"/>
      <c r="C98" s="33">
        <v>3</v>
      </c>
      <c r="D98" s="33">
        <f>$D$94*C98%</f>
        <v>142.54615573379309</v>
      </c>
      <c r="E98" s="111"/>
      <c r="F98" s="111"/>
      <c r="G98" s="111"/>
      <c r="H98" s="111"/>
      <c r="I98" s="111"/>
      <c r="J98" s="111"/>
      <c r="K98" s="103"/>
      <c r="L98" s="103"/>
      <c r="M98" s="103"/>
      <c r="N98" s="103"/>
      <c r="O98" s="103"/>
      <c r="P98" s="103"/>
      <c r="Q98" s="103"/>
    </row>
    <row r="99" spans="1:17" ht="22" customHeight="1" x14ac:dyDescent="0.35">
      <c r="A99" s="77" t="s">
        <v>92</v>
      </c>
      <c r="B99" s="78"/>
      <c r="C99" s="2">
        <v>0.65</v>
      </c>
      <c r="D99" s="33">
        <f>$D$94*C99%</f>
        <v>30.885000408988507</v>
      </c>
      <c r="E99" s="111"/>
      <c r="F99" s="111"/>
      <c r="G99" s="111"/>
      <c r="H99" s="111"/>
      <c r="I99" s="111"/>
      <c r="J99" s="111"/>
      <c r="K99" s="103"/>
      <c r="L99" s="103"/>
      <c r="M99" s="103"/>
      <c r="N99" s="103"/>
      <c r="O99" s="103"/>
      <c r="P99" s="103"/>
      <c r="Q99" s="103"/>
    </row>
    <row r="100" spans="1:17" x14ac:dyDescent="0.35">
      <c r="A100" s="79" t="s">
        <v>93</v>
      </c>
      <c r="B100" s="80"/>
      <c r="C100" s="45">
        <f>SUM(C97:C99)</f>
        <v>8.65</v>
      </c>
      <c r="D100" s="34">
        <f>SUM(D97:D99)</f>
        <v>411.00808236577006</v>
      </c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</row>
    <row r="101" spans="1:17" x14ac:dyDescent="0.35">
      <c r="A101" s="28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</row>
    <row r="102" spans="1:17" ht="25" customHeight="1" x14ac:dyDescent="0.35">
      <c r="A102" s="79" t="s">
        <v>94</v>
      </c>
      <c r="B102" s="104"/>
      <c r="C102" s="80"/>
      <c r="D102" s="34">
        <f>D84+D90+D100</f>
        <v>4751.5385244597701</v>
      </c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</row>
    <row r="103" spans="1:17" ht="25" customHeight="1" x14ac:dyDescent="0.35">
      <c r="A103" s="79" t="s">
        <v>175</v>
      </c>
      <c r="B103" s="104"/>
      <c r="C103" s="80"/>
      <c r="D103" s="34">
        <f>D102*2</f>
        <v>9503.0770489195402</v>
      </c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</row>
    <row r="104" spans="1:17" ht="25" customHeight="1" x14ac:dyDescent="0.35">
      <c r="A104" s="79" t="s">
        <v>156</v>
      </c>
      <c r="B104" s="104"/>
      <c r="C104" s="80"/>
      <c r="D104" s="34">
        <f>D103*12</f>
        <v>114036.92458703447</v>
      </c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</row>
  </sheetData>
  <mergeCells count="156">
    <mergeCell ref="K86:Q87"/>
    <mergeCell ref="K88:Q89"/>
    <mergeCell ref="K17:Q18"/>
    <mergeCell ref="K19:Q26"/>
    <mergeCell ref="K96:Q96"/>
    <mergeCell ref="K97:Q99"/>
    <mergeCell ref="K79:Q80"/>
    <mergeCell ref="K81:Q81"/>
    <mergeCell ref="K11:Q12"/>
    <mergeCell ref="K13:Q14"/>
    <mergeCell ref="K65:Q66"/>
    <mergeCell ref="K67:Q74"/>
    <mergeCell ref="A1:Q1"/>
    <mergeCell ref="B2:E2"/>
    <mergeCell ref="B3:E3"/>
    <mergeCell ref="B4:E4"/>
    <mergeCell ref="B5:E5"/>
    <mergeCell ref="B6:E6"/>
    <mergeCell ref="E72:J72"/>
    <mergeCell ref="A72:C72"/>
    <mergeCell ref="K30:Q37"/>
    <mergeCell ref="A60:B60"/>
    <mergeCell ref="A61:B61"/>
    <mergeCell ref="A63:C63"/>
    <mergeCell ref="A65:D65"/>
    <mergeCell ref="K52:Q52"/>
    <mergeCell ref="K53:Q55"/>
    <mergeCell ref="A58:B58"/>
    <mergeCell ref="E58:J58"/>
    <mergeCell ref="A59:B59"/>
    <mergeCell ref="E59:J59"/>
    <mergeCell ref="A52:B52"/>
    <mergeCell ref="E52:J52"/>
    <mergeCell ref="A53:B53"/>
    <mergeCell ref="E53:J53"/>
    <mergeCell ref="A56:B56"/>
    <mergeCell ref="A103:C103"/>
    <mergeCell ref="A81:C81"/>
    <mergeCell ref="A79:D79"/>
    <mergeCell ref="E79:J80"/>
    <mergeCell ref="A80:C80"/>
    <mergeCell ref="A82:C82"/>
    <mergeCell ref="A94:B94"/>
    <mergeCell ref="E94:I94"/>
    <mergeCell ref="A74:C74"/>
    <mergeCell ref="A96:B96"/>
    <mergeCell ref="A87:B87"/>
    <mergeCell ref="A88:B88"/>
    <mergeCell ref="A89:B89"/>
    <mergeCell ref="A90:B90"/>
    <mergeCell ref="E74:J74"/>
    <mergeCell ref="E81:J81"/>
    <mergeCell ref="A97:B97"/>
    <mergeCell ref="A98:B98"/>
    <mergeCell ref="A99:B99"/>
    <mergeCell ref="A100:B100"/>
    <mergeCell ref="A77:C77"/>
    <mergeCell ref="A104:C104"/>
    <mergeCell ref="A102:C102"/>
    <mergeCell ref="E86:J87"/>
    <mergeCell ref="E88:J89"/>
    <mergeCell ref="E96:J96"/>
    <mergeCell ref="E97:J99"/>
    <mergeCell ref="E65:J66"/>
    <mergeCell ref="A66:C66"/>
    <mergeCell ref="A73:C73"/>
    <mergeCell ref="A67:C67"/>
    <mergeCell ref="A68:C68"/>
    <mergeCell ref="E67:J67"/>
    <mergeCell ref="E68:J68"/>
    <mergeCell ref="E73:J73"/>
    <mergeCell ref="A69:C69"/>
    <mergeCell ref="A70:C70"/>
    <mergeCell ref="A71:C71"/>
    <mergeCell ref="E69:J69"/>
    <mergeCell ref="E70:J70"/>
    <mergeCell ref="E71:J71"/>
    <mergeCell ref="A92:C92"/>
    <mergeCell ref="A75:C75"/>
    <mergeCell ref="A84:C84"/>
    <mergeCell ref="A86:D86"/>
    <mergeCell ref="A54:B54"/>
    <mergeCell ref="A55:B55"/>
    <mergeCell ref="E54:J54"/>
    <mergeCell ref="E55:J55"/>
    <mergeCell ref="E49:J49"/>
    <mergeCell ref="A50:B50"/>
    <mergeCell ref="A48:B48"/>
    <mergeCell ref="E48:J48"/>
    <mergeCell ref="A49:B49"/>
    <mergeCell ref="E44:J44"/>
    <mergeCell ref="E45:J45"/>
    <mergeCell ref="K40:Q40"/>
    <mergeCell ref="K41:Q45"/>
    <mergeCell ref="A43:B43"/>
    <mergeCell ref="A44:B44"/>
    <mergeCell ref="A45:B45"/>
    <mergeCell ref="A46:B46"/>
    <mergeCell ref="E43:J43"/>
    <mergeCell ref="E40:J40"/>
    <mergeCell ref="G2:Q2"/>
    <mergeCell ref="A20:B20"/>
    <mergeCell ref="A27:B27"/>
    <mergeCell ref="E29:J29"/>
    <mergeCell ref="E11:J12"/>
    <mergeCell ref="E19:J19"/>
    <mergeCell ref="E20:J20"/>
    <mergeCell ref="E21:J21"/>
    <mergeCell ref="E22:J22"/>
    <mergeCell ref="E23:J23"/>
    <mergeCell ref="E24:J24"/>
    <mergeCell ref="A26:B26"/>
    <mergeCell ref="A21:B21"/>
    <mergeCell ref="A22:B22"/>
    <mergeCell ref="A24:B24"/>
    <mergeCell ref="A23:B23"/>
    <mergeCell ref="E25:J25"/>
    <mergeCell ref="E26:J26"/>
    <mergeCell ref="K29:Q29"/>
    <mergeCell ref="A10:Q10"/>
    <mergeCell ref="G3:Q8"/>
    <mergeCell ref="A11:D11"/>
    <mergeCell ref="A18:B18"/>
    <mergeCell ref="A12:B12"/>
    <mergeCell ref="A13:B13"/>
    <mergeCell ref="A14:B14"/>
    <mergeCell ref="A19:B19"/>
    <mergeCell ref="A25:B25"/>
    <mergeCell ref="E13:J13"/>
    <mergeCell ref="E14:J14"/>
    <mergeCell ref="E17:J18"/>
    <mergeCell ref="A29:B29"/>
    <mergeCell ref="A15:C15"/>
    <mergeCell ref="A17:D17"/>
    <mergeCell ref="E30:J30"/>
    <mergeCell ref="E31:J31"/>
    <mergeCell ref="E41:J41"/>
    <mergeCell ref="E32:J32"/>
    <mergeCell ref="A30:B30"/>
    <mergeCell ref="A40:B40"/>
    <mergeCell ref="A41:B41"/>
    <mergeCell ref="A42:B42"/>
    <mergeCell ref="E33:J33"/>
    <mergeCell ref="E34:J34"/>
    <mergeCell ref="E35:J35"/>
    <mergeCell ref="E36:J36"/>
    <mergeCell ref="E37:J37"/>
    <mergeCell ref="E42:J42"/>
    <mergeCell ref="A33:B33"/>
    <mergeCell ref="A34:B34"/>
    <mergeCell ref="A35:B35"/>
    <mergeCell ref="A36:B36"/>
    <mergeCell ref="A37:B37"/>
    <mergeCell ref="A38:B38"/>
    <mergeCell ref="A31:B31"/>
    <mergeCell ref="A32:B32"/>
  </mergeCells>
  <pageMargins left="0.51181102362204722" right="0.51181102362204722" top="1.1811023622047245" bottom="1.1811023622047245" header="0.31496062992125984" footer="0.31496062992125984"/>
  <pageSetup paperSize="9" scale="49" fitToHeight="0" orientation="portrait" r:id="rId1"/>
  <headerFooter>
    <oddHeader>&amp;C&amp;"Arial Black,Normal"&amp;24COREN-AM - &amp;16PLANILHA(S) DETALHADA DE CUSTO - VIGILANTE(S) ARMADO e AGENTE DE PORTARIA - 11/05/2020</oddHeader>
    <oddFooter>&amp;LRua Tapajós, 350 – Centro, Manaus-AM, 69010-150
Horário: 8h às 16 horas. 
Telefone: (92) 3232-9924
http://www.corenam.gov.br/
e-mail: selic@corenam.gov.br&amp;CPágina &amp;P de &amp;N&amp;RSETOR DE LICITAÇÕES E 
CONTRATOS - SELIC/COREN-AM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106"/>
  <sheetViews>
    <sheetView zoomScaleNormal="100" workbookViewId="0">
      <selection sqref="A1:Q106"/>
    </sheetView>
  </sheetViews>
  <sheetFormatPr defaultRowHeight="14.5" x14ac:dyDescent="0.35"/>
  <cols>
    <col min="1" max="1" width="33.453125" customWidth="1"/>
    <col min="2" max="2" width="14.6328125" customWidth="1"/>
    <col min="3" max="3" width="10.81640625" customWidth="1"/>
    <col min="4" max="4" width="12.26953125" customWidth="1"/>
  </cols>
  <sheetData>
    <row r="1" spans="1:17" x14ac:dyDescent="0.3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</row>
    <row r="2" spans="1:17" x14ac:dyDescent="0.35">
      <c r="A2" s="27" t="s">
        <v>3</v>
      </c>
      <c r="B2" s="127" t="s">
        <v>162</v>
      </c>
      <c r="C2" s="127"/>
      <c r="D2" s="127"/>
      <c r="E2" s="127"/>
      <c r="F2" s="28"/>
      <c r="G2" s="89" t="s">
        <v>84</v>
      </c>
      <c r="H2" s="89"/>
      <c r="I2" s="89"/>
      <c r="J2" s="89"/>
      <c r="K2" s="89"/>
      <c r="L2" s="89"/>
      <c r="M2" s="89"/>
      <c r="N2" s="89"/>
      <c r="O2" s="89"/>
      <c r="P2" s="89"/>
      <c r="Q2" s="89"/>
    </row>
    <row r="3" spans="1:17" ht="15" customHeight="1" x14ac:dyDescent="0.35">
      <c r="A3" s="27" t="s">
        <v>107</v>
      </c>
      <c r="B3" s="127" t="s">
        <v>112</v>
      </c>
      <c r="C3" s="127"/>
      <c r="D3" s="127"/>
      <c r="E3" s="127"/>
      <c r="F3" s="28"/>
      <c r="G3" s="92" t="s">
        <v>246</v>
      </c>
      <c r="H3" s="93"/>
      <c r="I3" s="93"/>
      <c r="J3" s="93"/>
      <c r="K3" s="93"/>
      <c r="L3" s="93"/>
      <c r="M3" s="93"/>
      <c r="N3" s="93"/>
      <c r="O3" s="93"/>
      <c r="P3" s="93"/>
      <c r="Q3" s="94"/>
    </row>
    <row r="4" spans="1:17" ht="15" customHeight="1" x14ac:dyDescent="0.35">
      <c r="A4" s="22" t="s">
        <v>2</v>
      </c>
      <c r="B4" s="127" t="s">
        <v>1</v>
      </c>
      <c r="C4" s="127"/>
      <c r="D4" s="127"/>
      <c r="E4" s="127"/>
      <c r="F4" s="28"/>
      <c r="G4" s="95"/>
      <c r="H4" s="96"/>
      <c r="I4" s="96"/>
      <c r="J4" s="96"/>
      <c r="K4" s="96"/>
      <c r="L4" s="96"/>
      <c r="M4" s="96"/>
      <c r="N4" s="96"/>
      <c r="O4" s="96"/>
      <c r="P4" s="96"/>
      <c r="Q4" s="97"/>
    </row>
    <row r="5" spans="1:17" ht="26" x14ac:dyDescent="0.35">
      <c r="A5" s="22" t="s">
        <v>4</v>
      </c>
      <c r="B5" s="127">
        <v>1</v>
      </c>
      <c r="C5" s="127"/>
      <c r="D5" s="127"/>
      <c r="E5" s="127"/>
      <c r="F5" s="28"/>
      <c r="G5" s="95"/>
      <c r="H5" s="96"/>
      <c r="I5" s="96"/>
      <c r="J5" s="96"/>
      <c r="K5" s="96"/>
      <c r="L5" s="96"/>
      <c r="M5" s="96"/>
      <c r="N5" s="96"/>
      <c r="O5" s="96"/>
      <c r="P5" s="96"/>
      <c r="Q5" s="97"/>
    </row>
    <row r="6" spans="1:17" ht="39" x14ac:dyDescent="0.35">
      <c r="A6" s="22" t="s">
        <v>108</v>
      </c>
      <c r="B6" s="127" t="s">
        <v>242</v>
      </c>
      <c r="C6" s="127"/>
      <c r="D6" s="127"/>
      <c r="E6" s="127"/>
      <c r="F6" s="28"/>
      <c r="G6" s="95"/>
      <c r="H6" s="96"/>
      <c r="I6" s="96"/>
      <c r="J6" s="96"/>
      <c r="K6" s="96"/>
      <c r="L6" s="96"/>
      <c r="M6" s="96"/>
      <c r="N6" s="96"/>
      <c r="O6" s="96"/>
      <c r="P6" s="96"/>
      <c r="Q6" s="97"/>
    </row>
    <row r="7" spans="1:17" ht="21" customHeight="1" x14ac:dyDescent="0.35">
      <c r="A7" s="23"/>
      <c r="B7" s="24"/>
      <c r="C7" s="28"/>
      <c r="D7" s="28"/>
      <c r="E7" s="28"/>
      <c r="F7" s="28"/>
      <c r="G7" s="95"/>
      <c r="H7" s="96"/>
      <c r="I7" s="96"/>
      <c r="J7" s="96"/>
      <c r="K7" s="96"/>
      <c r="L7" s="96"/>
      <c r="M7" s="96"/>
      <c r="N7" s="96"/>
      <c r="O7" s="96"/>
      <c r="P7" s="96"/>
      <c r="Q7" s="97"/>
    </row>
    <row r="8" spans="1:17" ht="21" customHeight="1" x14ac:dyDescent="0.35">
      <c r="A8" s="23"/>
      <c r="B8" s="24"/>
      <c r="C8" s="28"/>
      <c r="D8" s="28"/>
      <c r="E8" s="28"/>
      <c r="F8" s="28"/>
      <c r="G8" s="98"/>
      <c r="H8" s="99"/>
      <c r="I8" s="99"/>
      <c r="J8" s="99"/>
      <c r="K8" s="99"/>
      <c r="L8" s="99"/>
      <c r="M8" s="99"/>
      <c r="N8" s="99"/>
      <c r="O8" s="99"/>
      <c r="P8" s="99"/>
      <c r="Q8" s="100"/>
    </row>
    <row r="9" spans="1:17" x14ac:dyDescent="0.35">
      <c r="A9" s="29"/>
      <c r="B9" s="29"/>
      <c r="C9" s="29"/>
      <c r="D9" s="29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</row>
    <row r="10" spans="1:17" x14ac:dyDescent="0.35">
      <c r="A10" s="91" t="s">
        <v>5</v>
      </c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</row>
    <row r="11" spans="1:17" x14ac:dyDescent="0.35">
      <c r="A11" s="84" t="s">
        <v>24</v>
      </c>
      <c r="B11" s="85"/>
      <c r="C11" s="85"/>
      <c r="D11" s="86"/>
      <c r="E11" s="90" t="s">
        <v>22</v>
      </c>
      <c r="F11" s="90"/>
      <c r="G11" s="90"/>
      <c r="H11" s="90"/>
      <c r="I11" s="90"/>
      <c r="J11" s="90"/>
      <c r="K11" s="89" t="s">
        <v>52</v>
      </c>
      <c r="L11" s="89"/>
      <c r="M11" s="89"/>
      <c r="N11" s="89"/>
      <c r="O11" s="89"/>
      <c r="P11" s="89"/>
      <c r="Q11" s="89"/>
    </row>
    <row r="12" spans="1:17" x14ac:dyDescent="0.35">
      <c r="A12" s="101" t="s">
        <v>6</v>
      </c>
      <c r="B12" s="102"/>
      <c r="C12" s="30" t="s">
        <v>7</v>
      </c>
      <c r="D12" s="30" t="s">
        <v>8</v>
      </c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89"/>
    </row>
    <row r="13" spans="1:17" ht="40.5" customHeight="1" x14ac:dyDescent="0.35">
      <c r="A13" s="77" t="s">
        <v>9</v>
      </c>
      <c r="B13" s="78"/>
      <c r="C13" s="2" t="s">
        <v>97</v>
      </c>
      <c r="D13" s="31">
        <v>1305</v>
      </c>
      <c r="E13" s="69" t="s">
        <v>114</v>
      </c>
      <c r="F13" s="69"/>
      <c r="G13" s="69"/>
      <c r="H13" s="69"/>
      <c r="I13" s="69"/>
      <c r="J13" s="69"/>
      <c r="K13" s="127"/>
      <c r="L13" s="127"/>
      <c r="M13" s="127"/>
      <c r="N13" s="127"/>
      <c r="O13" s="127"/>
      <c r="P13" s="127"/>
      <c r="Q13" s="127"/>
    </row>
    <row r="14" spans="1:17" ht="36" customHeight="1" x14ac:dyDescent="0.35">
      <c r="A14" s="73" t="s">
        <v>10</v>
      </c>
      <c r="B14" s="74"/>
      <c r="C14" s="32">
        <v>30</v>
      </c>
      <c r="D14" s="33">
        <f>TRUNC(C14*D13/100,2)</f>
        <v>391.5</v>
      </c>
      <c r="E14" s="69" t="s">
        <v>117</v>
      </c>
      <c r="F14" s="69"/>
      <c r="G14" s="69"/>
      <c r="H14" s="69"/>
      <c r="I14" s="69"/>
      <c r="J14" s="69"/>
      <c r="K14" s="127"/>
      <c r="L14" s="127"/>
      <c r="M14" s="127"/>
      <c r="N14" s="127"/>
      <c r="O14" s="127"/>
      <c r="P14" s="127"/>
      <c r="Q14" s="127"/>
    </row>
    <row r="15" spans="1:17" ht="97.5" customHeight="1" x14ac:dyDescent="0.35">
      <c r="A15" s="77" t="s">
        <v>163</v>
      </c>
      <c r="B15" s="78"/>
      <c r="C15" s="32" t="s">
        <v>97</v>
      </c>
      <c r="D15" s="33">
        <f>TRUNC((8*(7*4.286)*(((D13+D14)/192)*20%))/2,2)</f>
        <v>212.07</v>
      </c>
      <c r="E15" s="69" t="s">
        <v>165</v>
      </c>
      <c r="F15" s="69"/>
      <c r="G15" s="69"/>
      <c r="H15" s="69"/>
      <c r="I15" s="69"/>
      <c r="J15" s="69"/>
      <c r="K15" s="127"/>
      <c r="L15" s="127"/>
      <c r="M15" s="127"/>
      <c r="N15" s="127"/>
      <c r="O15" s="127"/>
      <c r="P15" s="127"/>
      <c r="Q15" s="127"/>
    </row>
    <row r="16" spans="1:17" ht="63.75" customHeight="1" x14ac:dyDescent="0.35">
      <c r="A16" s="77" t="s">
        <v>164</v>
      </c>
      <c r="B16" s="78"/>
      <c r="C16" s="32" t="s">
        <v>97</v>
      </c>
      <c r="D16" s="33">
        <f>TRUNC((D13+D14+D15)/192*1.5*15)</f>
        <v>223</v>
      </c>
      <c r="E16" s="69" t="s">
        <v>167</v>
      </c>
      <c r="F16" s="69"/>
      <c r="G16" s="69"/>
      <c r="H16" s="69"/>
      <c r="I16" s="69"/>
      <c r="J16" s="69"/>
      <c r="K16" s="127"/>
      <c r="L16" s="127"/>
      <c r="M16" s="127"/>
      <c r="N16" s="127"/>
      <c r="O16" s="127"/>
      <c r="P16" s="127"/>
      <c r="Q16" s="127"/>
    </row>
    <row r="17" spans="1:17" x14ac:dyDescent="0.35">
      <c r="A17" s="88" t="s">
        <v>35</v>
      </c>
      <c r="B17" s="88"/>
      <c r="C17" s="88"/>
      <c r="D17" s="34">
        <f>SUM(D13:D16)</f>
        <v>2131.5699999999997</v>
      </c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</row>
    <row r="18" spans="1:17" x14ac:dyDescent="0.35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</row>
    <row r="19" spans="1:17" x14ac:dyDescent="0.35">
      <c r="A19" s="89" t="s">
        <v>23</v>
      </c>
      <c r="B19" s="89"/>
      <c r="C19" s="89"/>
      <c r="D19" s="89"/>
      <c r="E19" s="81" t="s">
        <v>22</v>
      </c>
      <c r="F19" s="82"/>
      <c r="G19" s="82"/>
      <c r="H19" s="82"/>
      <c r="I19" s="82"/>
      <c r="J19" s="83"/>
      <c r="K19" s="28"/>
      <c r="L19" s="28"/>
      <c r="M19" s="28"/>
      <c r="N19" s="28"/>
      <c r="O19" s="28"/>
      <c r="P19" s="28"/>
      <c r="Q19" s="28"/>
    </row>
    <row r="20" spans="1:17" x14ac:dyDescent="0.35">
      <c r="A20" s="87" t="s">
        <v>25</v>
      </c>
      <c r="B20" s="87"/>
      <c r="C20" s="30" t="s">
        <v>7</v>
      </c>
      <c r="D20" s="30" t="s">
        <v>8</v>
      </c>
      <c r="E20" s="84"/>
      <c r="F20" s="85"/>
      <c r="G20" s="85"/>
      <c r="H20" s="85"/>
      <c r="I20" s="85"/>
      <c r="J20" s="86"/>
      <c r="K20" s="28"/>
      <c r="L20" s="28"/>
      <c r="M20" s="28"/>
      <c r="N20" s="28"/>
      <c r="O20" s="28"/>
      <c r="P20" s="28"/>
      <c r="Q20" s="28"/>
    </row>
    <row r="21" spans="1:17" x14ac:dyDescent="0.35">
      <c r="A21" s="77" t="s">
        <v>26</v>
      </c>
      <c r="B21" s="78"/>
      <c r="C21" s="32">
        <v>20</v>
      </c>
      <c r="D21" s="33">
        <f t="shared" ref="D21:D28" si="0">TRUNC($D$17*C21/100,2)</f>
        <v>426.31</v>
      </c>
      <c r="E21" s="69" t="s">
        <v>12</v>
      </c>
      <c r="F21" s="69"/>
      <c r="G21" s="69"/>
      <c r="H21" s="69"/>
      <c r="I21" s="69"/>
      <c r="J21" s="69"/>
      <c r="K21" s="28"/>
      <c r="L21" s="28"/>
      <c r="M21" s="28"/>
      <c r="N21" s="28"/>
      <c r="O21" s="28"/>
      <c r="P21" s="28"/>
      <c r="Q21" s="28"/>
    </row>
    <row r="22" spans="1:17" x14ac:dyDescent="0.35">
      <c r="A22" s="77" t="s">
        <v>27</v>
      </c>
      <c r="B22" s="78"/>
      <c r="C22" s="32">
        <v>8</v>
      </c>
      <c r="D22" s="33">
        <f t="shared" si="0"/>
        <v>170.52</v>
      </c>
      <c r="E22" s="69" t="s">
        <v>13</v>
      </c>
      <c r="F22" s="69"/>
      <c r="G22" s="69"/>
      <c r="H22" s="69"/>
      <c r="I22" s="69"/>
      <c r="J22" s="69"/>
      <c r="K22" s="28"/>
      <c r="L22" s="28"/>
      <c r="M22" s="28"/>
      <c r="N22" s="28"/>
      <c r="O22" s="28"/>
      <c r="P22" s="28"/>
      <c r="Q22" s="28"/>
    </row>
    <row r="23" spans="1:17" x14ac:dyDescent="0.35">
      <c r="A23" s="77" t="s">
        <v>28</v>
      </c>
      <c r="B23" s="78"/>
      <c r="C23" s="32">
        <v>1.5</v>
      </c>
      <c r="D23" s="33">
        <f t="shared" si="0"/>
        <v>31.97</v>
      </c>
      <c r="E23" s="69" t="s">
        <v>14</v>
      </c>
      <c r="F23" s="69"/>
      <c r="G23" s="69"/>
      <c r="H23" s="69"/>
      <c r="I23" s="69"/>
      <c r="J23" s="69"/>
      <c r="K23" s="28"/>
      <c r="L23" s="28"/>
      <c r="M23" s="28"/>
      <c r="N23" s="28"/>
      <c r="O23" s="28"/>
      <c r="P23" s="28"/>
      <c r="Q23" s="28"/>
    </row>
    <row r="24" spans="1:17" ht="32.5" customHeight="1" x14ac:dyDescent="0.35">
      <c r="A24" s="77" t="s">
        <v>29</v>
      </c>
      <c r="B24" s="78"/>
      <c r="C24" s="32">
        <v>1</v>
      </c>
      <c r="D24" s="33">
        <f t="shared" si="0"/>
        <v>21.31</v>
      </c>
      <c r="E24" s="69" t="s">
        <v>15</v>
      </c>
      <c r="F24" s="69"/>
      <c r="G24" s="69"/>
      <c r="H24" s="69"/>
      <c r="I24" s="69"/>
      <c r="J24" s="69"/>
      <c r="K24" s="28"/>
      <c r="L24" s="28"/>
      <c r="M24" s="28"/>
      <c r="N24" s="28"/>
      <c r="O24" s="28"/>
      <c r="P24" s="28"/>
      <c r="Q24" s="28"/>
    </row>
    <row r="25" spans="1:17" ht="28.5" customHeight="1" x14ac:dyDescent="0.35">
      <c r="A25" s="77" t="s">
        <v>30</v>
      </c>
      <c r="B25" s="78"/>
      <c r="C25" s="32">
        <v>0.2</v>
      </c>
      <c r="D25" s="33">
        <f t="shared" si="0"/>
        <v>4.26</v>
      </c>
      <c r="E25" s="69" t="s">
        <v>16</v>
      </c>
      <c r="F25" s="69"/>
      <c r="G25" s="69"/>
      <c r="H25" s="69"/>
      <c r="I25" s="69"/>
      <c r="J25" s="69"/>
      <c r="K25" s="28"/>
      <c r="L25" s="28"/>
      <c r="M25" s="28"/>
      <c r="N25" s="28"/>
      <c r="O25" s="28"/>
      <c r="P25" s="28"/>
      <c r="Q25" s="28"/>
    </row>
    <row r="26" spans="1:17" x14ac:dyDescent="0.35">
      <c r="A26" s="77" t="s">
        <v>31</v>
      </c>
      <c r="B26" s="78"/>
      <c r="C26" s="32">
        <v>0.6</v>
      </c>
      <c r="D26" s="33">
        <f t="shared" si="0"/>
        <v>12.78</v>
      </c>
      <c r="E26" s="69" t="s">
        <v>17</v>
      </c>
      <c r="F26" s="69"/>
      <c r="G26" s="69"/>
      <c r="H26" s="69"/>
      <c r="I26" s="69"/>
      <c r="J26" s="69"/>
      <c r="K26" s="28"/>
      <c r="L26" s="28"/>
      <c r="M26" s="28"/>
      <c r="N26" s="28"/>
      <c r="O26" s="28"/>
      <c r="P26" s="28"/>
      <c r="Q26" s="28"/>
    </row>
    <row r="27" spans="1:17" x14ac:dyDescent="0.35">
      <c r="A27" s="73" t="s">
        <v>32</v>
      </c>
      <c r="B27" s="74"/>
      <c r="C27" s="32">
        <v>2.5</v>
      </c>
      <c r="D27" s="33">
        <f t="shared" si="0"/>
        <v>53.28</v>
      </c>
      <c r="E27" s="69" t="s">
        <v>18</v>
      </c>
      <c r="F27" s="69"/>
      <c r="G27" s="69"/>
      <c r="H27" s="69"/>
      <c r="I27" s="69"/>
      <c r="J27" s="69"/>
      <c r="K27" s="28"/>
      <c r="L27" s="28"/>
      <c r="M27" s="28"/>
      <c r="N27" s="28"/>
      <c r="O27" s="28"/>
      <c r="P27" s="28"/>
      <c r="Q27" s="28"/>
    </row>
    <row r="28" spans="1:17" ht="39.75" customHeight="1" x14ac:dyDescent="0.35">
      <c r="A28" s="73" t="s">
        <v>33</v>
      </c>
      <c r="B28" s="74"/>
      <c r="C28" s="32">
        <v>6</v>
      </c>
      <c r="D28" s="33">
        <f t="shared" si="0"/>
        <v>127.89</v>
      </c>
      <c r="E28" s="69" t="s">
        <v>118</v>
      </c>
      <c r="F28" s="69"/>
      <c r="G28" s="69"/>
      <c r="H28" s="69"/>
      <c r="I28" s="69"/>
      <c r="J28" s="69"/>
      <c r="K28" s="28"/>
      <c r="L28" s="28"/>
      <c r="M28" s="28"/>
      <c r="N28" s="28"/>
      <c r="O28" s="28"/>
      <c r="P28" s="28"/>
      <c r="Q28" s="28"/>
    </row>
    <row r="29" spans="1:17" x14ac:dyDescent="0.35">
      <c r="A29" s="79" t="s">
        <v>34</v>
      </c>
      <c r="B29" s="80"/>
      <c r="C29" s="35">
        <f>SUM(C21:C28)</f>
        <v>39.799999999999997</v>
      </c>
      <c r="D29" s="34">
        <f>SUM(D21:D28)</f>
        <v>848.31999999999994</v>
      </c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</row>
    <row r="30" spans="1:17" x14ac:dyDescent="0.35">
      <c r="A30" s="36"/>
      <c r="B30" s="36"/>
      <c r="C30" s="37"/>
      <c r="D30" s="3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</row>
    <row r="31" spans="1:17" x14ac:dyDescent="0.35">
      <c r="A31" s="87" t="s">
        <v>36</v>
      </c>
      <c r="B31" s="87"/>
      <c r="C31" s="30" t="s">
        <v>7</v>
      </c>
      <c r="D31" s="30" t="s">
        <v>8</v>
      </c>
      <c r="E31" s="89" t="s">
        <v>22</v>
      </c>
      <c r="F31" s="89"/>
      <c r="G31" s="89"/>
      <c r="H31" s="89"/>
      <c r="I31" s="89"/>
      <c r="J31" s="89"/>
      <c r="K31" s="89" t="s">
        <v>52</v>
      </c>
      <c r="L31" s="89"/>
      <c r="M31" s="89"/>
      <c r="N31" s="89"/>
      <c r="O31" s="89"/>
      <c r="P31" s="89"/>
      <c r="Q31" s="89"/>
    </row>
    <row r="32" spans="1:17" ht="35" customHeight="1" x14ac:dyDescent="0.35">
      <c r="A32" s="73" t="s">
        <v>37</v>
      </c>
      <c r="B32" s="74"/>
      <c r="C32" s="32">
        <v>8.3330000000000002</v>
      </c>
      <c r="D32" s="33">
        <f t="shared" ref="D32:D39" si="1">TRUNC($D$17*C32/100,2)</f>
        <v>177.62</v>
      </c>
      <c r="E32" s="69" t="s">
        <v>20</v>
      </c>
      <c r="F32" s="69"/>
      <c r="G32" s="69"/>
      <c r="H32" s="69"/>
      <c r="I32" s="69"/>
      <c r="J32" s="69"/>
      <c r="K32" s="103" t="s">
        <v>190</v>
      </c>
      <c r="L32" s="103"/>
      <c r="M32" s="103"/>
      <c r="N32" s="103"/>
      <c r="O32" s="103"/>
      <c r="P32" s="103"/>
      <c r="Q32" s="103"/>
    </row>
    <row r="33" spans="1:17" ht="35" customHeight="1" x14ac:dyDescent="0.35">
      <c r="A33" s="77" t="s">
        <v>38</v>
      </c>
      <c r="B33" s="78"/>
      <c r="C33" s="32">
        <v>8.3330000000000002</v>
      </c>
      <c r="D33" s="33">
        <f t="shared" si="1"/>
        <v>177.62</v>
      </c>
      <c r="E33" s="70" t="s">
        <v>21</v>
      </c>
      <c r="F33" s="71"/>
      <c r="G33" s="71"/>
      <c r="H33" s="71"/>
      <c r="I33" s="71"/>
      <c r="J33" s="72"/>
      <c r="K33" s="103"/>
      <c r="L33" s="103"/>
      <c r="M33" s="103"/>
      <c r="N33" s="103"/>
      <c r="O33" s="103"/>
      <c r="P33" s="103"/>
      <c r="Q33" s="103"/>
    </row>
    <row r="34" spans="1:17" ht="35" customHeight="1" x14ac:dyDescent="0.35">
      <c r="A34" s="77" t="s">
        <v>39</v>
      </c>
      <c r="B34" s="78"/>
      <c r="C34" s="32">
        <v>1.944</v>
      </c>
      <c r="D34" s="33">
        <f t="shared" si="1"/>
        <v>41.43</v>
      </c>
      <c r="E34" s="70" t="s">
        <v>46</v>
      </c>
      <c r="F34" s="71"/>
      <c r="G34" s="71"/>
      <c r="H34" s="71"/>
      <c r="I34" s="71"/>
      <c r="J34" s="72"/>
      <c r="K34" s="103"/>
      <c r="L34" s="103"/>
      <c r="M34" s="103"/>
      <c r="N34" s="103"/>
      <c r="O34" s="103"/>
      <c r="P34" s="103"/>
      <c r="Q34" s="103"/>
    </row>
    <row r="35" spans="1:17" ht="35" customHeight="1" x14ac:dyDescent="0.35">
      <c r="A35" s="77" t="s">
        <v>40</v>
      </c>
      <c r="B35" s="78"/>
      <c r="C35" s="32">
        <v>0.222</v>
      </c>
      <c r="D35" s="33">
        <f t="shared" si="1"/>
        <v>4.7300000000000004</v>
      </c>
      <c r="E35" s="70" t="s">
        <v>47</v>
      </c>
      <c r="F35" s="71"/>
      <c r="G35" s="71"/>
      <c r="H35" s="71"/>
      <c r="I35" s="71"/>
      <c r="J35" s="72"/>
      <c r="K35" s="103"/>
      <c r="L35" s="103"/>
      <c r="M35" s="103"/>
      <c r="N35" s="103"/>
      <c r="O35" s="103"/>
      <c r="P35" s="103"/>
      <c r="Q35" s="103"/>
    </row>
    <row r="36" spans="1:17" ht="35" customHeight="1" x14ac:dyDescent="0.35">
      <c r="A36" s="77" t="s">
        <v>41</v>
      </c>
      <c r="B36" s="78"/>
      <c r="C36" s="32">
        <v>5.0999999999999997E-2</v>
      </c>
      <c r="D36" s="33">
        <f t="shared" si="1"/>
        <v>1.08</v>
      </c>
      <c r="E36" s="70" t="s">
        <v>48</v>
      </c>
      <c r="F36" s="71"/>
      <c r="G36" s="71"/>
      <c r="H36" s="71"/>
      <c r="I36" s="71"/>
      <c r="J36" s="72"/>
      <c r="K36" s="103"/>
      <c r="L36" s="103"/>
      <c r="M36" s="103"/>
      <c r="N36" s="103"/>
      <c r="O36" s="103"/>
      <c r="P36" s="103"/>
      <c r="Q36" s="103"/>
    </row>
    <row r="37" spans="1:17" ht="35" customHeight="1" x14ac:dyDescent="0.35">
      <c r="A37" s="77" t="s">
        <v>42</v>
      </c>
      <c r="B37" s="78"/>
      <c r="C37" s="32">
        <v>0.41499999999999998</v>
      </c>
      <c r="D37" s="33">
        <f t="shared" si="1"/>
        <v>8.84</v>
      </c>
      <c r="E37" s="70" t="s">
        <v>49</v>
      </c>
      <c r="F37" s="71"/>
      <c r="G37" s="71"/>
      <c r="H37" s="71"/>
      <c r="I37" s="71"/>
      <c r="J37" s="72"/>
      <c r="K37" s="103"/>
      <c r="L37" s="103"/>
      <c r="M37" s="103"/>
      <c r="N37" s="103"/>
      <c r="O37" s="103"/>
      <c r="P37" s="103"/>
      <c r="Q37" s="103"/>
    </row>
    <row r="38" spans="1:17" ht="35" customHeight="1" x14ac:dyDescent="0.35">
      <c r="A38" s="77" t="s">
        <v>43</v>
      </c>
      <c r="B38" s="78"/>
      <c r="C38" s="32">
        <v>3.9E-2</v>
      </c>
      <c r="D38" s="33">
        <f t="shared" si="1"/>
        <v>0.83</v>
      </c>
      <c r="E38" s="70" t="s">
        <v>50</v>
      </c>
      <c r="F38" s="71"/>
      <c r="G38" s="71"/>
      <c r="H38" s="71"/>
      <c r="I38" s="71"/>
      <c r="J38" s="72"/>
      <c r="K38" s="103"/>
      <c r="L38" s="103"/>
      <c r="M38" s="103"/>
      <c r="N38" s="103"/>
      <c r="O38" s="103"/>
      <c r="P38" s="103"/>
      <c r="Q38" s="103"/>
    </row>
    <row r="39" spans="1:17" ht="35" customHeight="1" x14ac:dyDescent="0.35">
      <c r="A39" s="77" t="s">
        <v>44</v>
      </c>
      <c r="B39" s="78"/>
      <c r="C39" s="32">
        <v>0.02</v>
      </c>
      <c r="D39" s="33">
        <f t="shared" si="1"/>
        <v>0.42</v>
      </c>
      <c r="E39" s="70" t="s">
        <v>51</v>
      </c>
      <c r="F39" s="71"/>
      <c r="G39" s="71"/>
      <c r="H39" s="71"/>
      <c r="I39" s="71"/>
      <c r="J39" s="72"/>
      <c r="K39" s="103"/>
      <c r="L39" s="103"/>
      <c r="M39" s="103"/>
      <c r="N39" s="103"/>
      <c r="O39" s="103"/>
      <c r="P39" s="103"/>
      <c r="Q39" s="103"/>
    </row>
    <row r="40" spans="1:17" x14ac:dyDescent="0.35">
      <c r="A40" s="79" t="s">
        <v>45</v>
      </c>
      <c r="B40" s="80"/>
      <c r="C40" s="35">
        <f>SUM(C32:C39)</f>
        <v>19.356999999999999</v>
      </c>
      <c r="D40" s="34">
        <f>SUM(D32:D39)</f>
        <v>412.57</v>
      </c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</row>
    <row r="41" spans="1:17" x14ac:dyDescent="0.35">
      <c r="A41" s="36"/>
      <c r="B41" s="36"/>
      <c r="C41" s="39"/>
      <c r="D41" s="3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</row>
    <row r="42" spans="1:17" x14ac:dyDescent="0.35">
      <c r="A42" s="75" t="s">
        <v>53</v>
      </c>
      <c r="B42" s="76"/>
      <c r="C42" s="30" t="s">
        <v>7</v>
      </c>
      <c r="D42" s="30" t="s">
        <v>8</v>
      </c>
      <c r="E42" s="89" t="s">
        <v>22</v>
      </c>
      <c r="F42" s="89"/>
      <c r="G42" s="89"/>
      <c r="H42" s="89"/>
      <c r="I42" s="89"/>
      <c r="J42" s="89"/>
      <c r="K42" s="89" t="s">
        <v>52</v>
      </c>
      <c r="L42" s="89"/>
      <c r="M42" s="89"/>
      <c r="N42" s="89"/>
      <c r="O42" s="89"/>
      <c r="P42" s="89"/>
      <c r="Q42" s="89"/>
    </row>
    <row r="43" spans="1:17" ht="23.15" customHeight="1" x14ac:dyDescent="0.35">
      <c r="A43" s="77" t="s">
        <v>54</v>
      </c>
      <c r="B43" s="78"/>
      <c r="C43" s="32">
        <v>0.41699999999999998</v>
      </c>
      <c r="D43" s="33">
        <f>TRUNC($D$17*C43/100,2)</f>
        <v>8.8800000000000008</v>
      </c>
      <c r="E43" s="69" t="s">
        <v>58</v>
      </c>
      <c r="F43" s="69"/>
      <c r="G43" s="69"/>
      <c r="H43" s="69"/>
      <c r="I43" s="69"/>
      <c r="J43" s="69"/>
      <c r="K43" s="103" t="s">
        <v>269</v>
      </c>
      <c r="L43" s="103"/>
      <c r="M43" s="103"/>
      <c r="N43" s="103"/>
      <c r="O43" s="103"/>
      <c r="P43" s="103"/>
      <c r="Q43" s="103"/>
    </row>
    <row r="44" spans="1:17" ht="23.15" customHeight="1" x14ac:dyDescent="0.35">
      <c r="A44" s="77" t="s">
        <v>55</v>
      </c>
      <c r="B44" s="78"/>
      <c r="C44" s="32">
        <v>0.28599999999999998</v>
      </c>
      <c r="D44" s="33">
        <f>TRUNC($D$17*C44/100,2)</f>
        <v>6.09</v>
      </c>
      <c r="E44" s="69" t="s">
        <v>59</v>
      </c>
      <c r="F44" s="69"/>
      <c r="G44" s="69"/>
      <c r="H44" s="69"/>
      <c r="I44" s="69"/>
      <c r="J44" s="69"/>
      <c r="K44" s="103"/>
      <c r="L44" s="103"/>
      <c r="M44" s="103"/>
      <c r="N44" s="103"/>
      <c r="O44" s="103"/>
      <c r="P44" s="103"/>
      <c r="Q44" s="103"/>
    </row>
    <row r="45" spans="1:17" ht="23.15" customHeight="1" x14ac:dyDescent="0.35">
      <c r="A45" s="77" t="s">
        <v>56</v>
      </c>
      <c r="B45" s="78"/>
      <c r="C45" s="32">
        <v>3.2</v>
      </c>
      <c r="D45" s="33">
        <f>TRUNC($D$17*C45/100,2)</f>
        <v>68.209999999999994</v>
      </c>
      <c r="E45" s="69" t="s">
        <v>60</v>
      </c>
      <c r="F45" s="69"/>
      <c r="G45" s="69"/>
      <c r="H45" s="69"/>
      <c r="I45" s="69"/>
      <c r="J45" s="69"/>
      <c r="K45" s="103"/>
      <c r="L45" s="103"/>
      <c r="M45" s="103"/>
      <c r="N45" s="103"/>
      <c r="O45" s="103"/>
      <c r="P45" s="103"/>
      <c r="Q45" s="103"/>
    </row>
    <row r="46" spans="1:17" ht="23.15" customHeight="1" x14ac:dyDescent="0.35">
      <c r="A46" s="77" t="s">
        <v>187</v>
      </c>
      <c r="B46" s="78"/>
      <c r="C46" s="32">
        <v>2.778</v>
      </c>
      <c r="D46" s="33">
        <f>TRUNC($D$17*C46/100,2)</f>
        <v>59.21</v>
      </c>
      <c r="E46" s="69" t="s">
        <v>61</v>
      </c>
      <c r="F46" s="69"/>
      <c r="G46" s="69"/>
      <c r="H46" s="69"/>
      <c r="I46" s="69"/>
      <c r="J46" s="69"/>
      <c r="K46" s="103"/>
      <c r="L46" s="103"/>
      <c r="M46" s="103"/>
      <c r="N46" s="103"/>
      <c r="O46" s="103"/>
      <c r="P46" s="103"/>
      <c r="Q46" s="103"/>
    </row>
    <row r="47" spans="1:17" ht="23.15" customHeight="1" x14ac:dyDescent="0.35">
      <c r="A47" s="77" t="s">
        <v>188</v>
      </c>
      <c r="B47" s="78"/>
      <c r="C47" s="32">
        <v>1.2999999999999999E-2</v>
      </c>
      <c r="D47" s="33">
        <f>TRUNC($D$17*C47/100,2)</f>
        <v>0.27</v>
      </c>
      <c r="E47" s="69" t="s">
        <v>62</v>
      </c>
      <c r="F47" s="69"/>
      <c r="G47" s="69"/>
      <c r="H47" s="69"/>
      <c r="I47" s="69"/>
      <c r="J47" s="69"/>
      <c r="K47" s="103"/>
      <c r="L47" s="103"/>
      <c r="M47" s="103"/>
      <c r="N47" s="103"/>
      <c r="O47" s="103"/>
      <c r="P47" s="103"/>
      <c r="Q47" s="103"/>
    </row>
    <row r="48" spans="1:17" x14ac:dyDescent="0.35">
      <c r="A48" s="79" t="s">
        <v>57</v>
      </c>
      <c r="B48" s="80"/>
      <c r="C48" s="35">
        <f>SUM(C43:C47)</f>
        <v>6.694</v>
      </c>
      <c r="D48" s="34">
        <f>SUM(D43:D47)</f>
        <v>142.66</v>
      </c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</row>
    <row r="49" spans="1:17" x14ac:dyDescent="0.35">
      <c r="A49" s="36"/>
      <c r="B49" s="36"/>
      <c r="C49" s="39"/>
      <c r="D49" s="3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</row>
    <row r="50" spans="1:17" x14ac:dyDescent="0.35">
      <c r="A50" s="75" t="s">
        <v>63</v>
      </c>
      <c r="B50" s="76"/>
      <c r="C50" s="30" t="s">
        <v>7</v>
      </c>
      <c r="D50" s="30" t="s">
        <v>8</v>
      </c>
      <c r="E50" s="89" t="s">
        <v>22</v>
      </c>
      <c r="F50" s="89"/>
      <c r="G50" s="89"/>
      <c r="H50" s="89"/>
      <c r="I50" s="89"/>
      <c r="J50" s="89"/>
      <c r="K50" s="28"/>
      <c r="L50" s="28"/>
      <c r="M50" s="28"/>
      <c r="N50" s="28"/>
      <c r="O50" s="28"/>
      <c r="P50" s="28"/>
      <c r="Q50" s="28"/>
    </row>
    <row r="51" spans="1:17" x14ac:dyDescent="0.35">
      <c r="A51" s="77" t="s">
        <v>64</v>
      </c>
      <c r="B51" s="78"/>
      <c r="C51" s="32">
        <f>ROUND((C29/100)*(C40/100)*100,3)</f>
        <v>7.7039999999999997</v>
      </c>
      <c r="D51" s="33">
        <f>TRUNC($D$17*C51/100,2)</f>
        <v>164.21</v>
      </c>
      <c r="E51" s="69" t="s">
        <v>267</v>
      </c>
      <c r="F51" s="69"/>
      <c r="G51" s="69"/>
      <c r="H51" s="69"/>
      <c r="I51" s="69"/>
      <c r="J51" s="69"/>
      <c r="K51" s="28"/>
      <c r="L51" s="28"/>
      <c r="M51" s="28"/>
      <c r="N51" s="28"/>
      <c r="O51" s="28"/>
      <c r="P51" s="28"/>
      <c r="Q51" s="28"/>
    </row>
    <row r="52" spans="1:17" x14ac:dyDescent="0.35">
      <c r="A52" s="79" t="s">
        <v>65</v>
      </c>
      <c r="B52" s="80"/>
      <c r="C52" s="35">
        <f>SUM(C51)</f>
        <v>7.7039999999999997</v>
      </c>
      <c r="D52" s="34">
        <f>SUM(D51)</f>
        <v>164.21</v>
      </c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</row>
    <row r="53" spans="1:17" x14ac:dyDescent="0.35">
      <c r="A53" s="36"/>
      <c r="B53" s="36"/>
      <c r="C53" s="39"/>
      <c r="D53" s="3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</row>
    <row r="54" spans="1:17" x14ac:dyDescent="0.35">
      <c r="A54" s="75" t="s">
        <v>66</v>
      </c>
      <c r="B54" s="76"/>
      <c r="C54" s="30" t="s">
        <v>7</v>
      </c>
      <c r="D54" s="30" t="s">
        <v>8</v>
      </c>
      <c r="E54" s="89" t="s">
        <v>22</v>
      </c>
      <c r="F54" s="89"/>
      <c r="G54" s="89"/>
      <c r="H54" s="89"/>
      <c r="I54" s="89"/>
      <c r="J54" s="89"/>
      <c r="K54" s="89" t="s">
        <v>52</v>
      </c>
      <c r="L54" s="89"/>
      <c r="M54" s="89"/>
      <c r="N54" s="89"/>
      <c r="O54" s="89"/>
      <c r="P54" s="89"/>
      <c r="Q54" s="89"/>
    </row>
    <row r="55" spans="1:17" ht="28.5" customHeight="1" x14ac:dyDescent="0.35">
      <c r="A55" s="77" t="s">
        <v>67</v>
      </c>
      <c r="B55" s="78"/>
      <c r="C55" s="32">
        <v>3.3000000000000002E-2</v>
      </c>
      <c r="D55" s="33">
        <f>TRUNC($D$17*C55/100,2)</f>
        <v>0.7</v>
      </c>
      <c r="E55" s="69" t="s">
        <v>71</v>
      </c>
      <c r="F55" s="69"/>
      <c r="G55" s="69"/>
      <c r="H55" s="69"/>
      <c r="I55" s="69"/>
      <c r="J55" s="69"/>
      <c r="K55" s="103" t="s">
        <v>72</v>
      </c>
      <c r="L55" s="103"/>
      <c r="M55" s="103"/>
      <c r="N55" s="103"/>
      <c r="O55" s="103"/>
      <c r="P55" s="103"/>
      <c r="Q55" s="103"/>
    </row>
    <row r="56" spans="1:17" ht="38.5" customHeight="1" x14ac:dyDescent="0.35">
      <c r="A56" s="77" t="s">
        <v>68</v>
      </c>
      <c r="B56" s="78"/>
      <c r="C56" s="32">
        <v>4.0000000000000001E-3</v>
      </c>
      <c r="D56" s="33">
        <f>TRUNC($D$17*C56/100,2)</f>
        <v>0.08</v>
      </c>
      <c r="E56" s="69" t="s">
        <v>199</v>
      </c>
      <c r="F56" s="69"/>
      <c r="G56" s="69"/>
      <c r="H56" s="69"/>
      <c r="I56" s="69"/>
      <c r="J56" s="69"/>
      <c r="K56" s="103"/>
      <c r="L56" s="103"/>
      <c r="M56" s="103"/>
      <c r="N56" s="103"/>
      <c r="O56" s="103"/>
      <c r="P56" s="103"/>
      <c r="Q56" s="103"/>
    </row>
    <row r="57" spans="1:17" ht="30.75" customHeight="1" x14ac:dyDescent="0.35">
      <c r="A57" s="77" t="s">
        <v>69</v>
      </c>
      <c r="B57" s="78"/>
      <c r="C57" s="32">
        <v>0.222</v>
      </c>
      <c r="D57" s="33">
        <f>TRUNC($D$17*C57/100,2)</f>
        <v>4.7300000000000004</v>
      </c>
      <c r="E57" s="69" t="s">
        <v>198</v>
      </c>
      <c r="F57" s="69"/>
      <c r="G57" s="69"/>
      <c r="H57" s="69"/>
      <c r="I57" s="69"/>
      <c r="J57" s="69"/>
      <c r="K57" s="103"/>
      <c r="L57" s="103"/>
      <c r="M57" s="103"/>
      <c r="N57" s="103"/>
      <c r="O57" s="103"/>
      <c r="P57" s="103"/>
      <c r="Q57" s="103"/>
    </row>
    <row r="58" spans="1:17" x14ac:dyDescent="0.35">
      <c r="A58" s="79" t="s">
        <v>70</v>
      </c>
      <c r="B58" s="80"/>
      <c r="C58" s="35">
        <f>SUM(C55:C57)</f>
        <v>0.25900000000000001</v>
      </c>
      <c r="D58" s="34">
        <f>SUM(D55:D57)</f>
        <v>5.5100000000000007</v>
      </c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</row>
    <row r="59" spans="1:17" x14ac:dyDescent="0.35">
      <c r="A59" s="36"/>
      <c r="B59" s="36"/>
      <c r="C59" s="39"/>
      <c r="D59" s="3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</row>
    <row r="60" spans="1:17" x14ac:dyDescent="0.35">
      <c r="A60" s="75" t="s">
        <v>73</v>
      </c>
      <c r="B60" s="76"/>
      <c r="C60" s="30" t="s">
        <v>7</v>
      </c>
      <c r="D60" s="30" t="s">
        <v>8</v>
      </c>
      <c r="E60" s="89" t="s">
        <v>22</v>
      </c>
      <c r="F60" s="89"/>
      <c r="G60" s="89"/>
      <c r="H60" s="89"/>
      <c r="I60" s="89"/>
      <c r="J60" s="89"/>
      <c r="K60" s="28"/>
      <c r="L60" s="28"/>
      <c r="M60" s="28"/>
      <c r="N60" s="28"/>
      <c r="O60" s="28"/>
      <c r="P60" s="28"/>
      <c r="Q60" s="28"/>
    </row>
    <row r="61" spans="1:17" ht="84.75" customHeight="1" x14ac:dyDescent="0.35">
      <c r="A61" s="77" t="s">
        <v>74</v>
      </c>
      <c r="B61" s="78"/>
      <c r="C61" s="32">
        <f>ROUND((C29/100)*(4/12)*(2/100)*100,3)</f>
        <v>0.26500000000000001</v>
      </c>
      <c r="D61" s="33">
        <f>TRUNC($D$17*C61/100,2)</f>
        <v>5.64</v>
      </c>
      <c r="E61" s="120" t="s">
        <v>268</v>
      </c>
      <c r="F61" s="120"/>
      <c r="G61" s="120"/>
      <c r="H61" s="120"/>
      <c r="I61" s="120"/>
      <c r="J61" s="120"/>
      <c r="K61" s="28"/>
      <c r="L61" s="28"/>
      <c r="M61" s="28"/>
      <c r="N61" s="28"/>
      <c r="O61" s="28"/>
      <c r="P61" s="28"/>
      <c r="Q61" s="28"/>
    </row>
    <row r="62" spans="1:17" x14ac:dyDescent="0.35">
      <c r="A62" s="79" t="s">
        <v>75</v>
      </c>
      <c r="B62" s="80"/>
      <c r="C62" s="35">
        <f>SUM(C61)</f>
        <v>0.26500000000000001</v>
      </c>
      <c r="D62" s="34">
        <f>SUM(D61)</f>
        <v>5.64</v>
      </c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</row>
    <row r="63" spans="1:17" x14ac:dyDescent="0.35">
      <c r="A63" s="79" t="s">
        <v>76</v>
      </c>
      <c r="B63" s="80"/>
      <c r="C63" s="35">
        <f>C29+C40+C48+C52+C58+C62</f>
        <v>74.078999999999994</v>
      </c>
      <c r="D63" s="34">
        <f>D29+D40+D48+D52+D58+D62</f>
        <v>1578.91</v>
      </c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</row>
    <row r="64" spans="1:17" ht="15" customHeight="1" x14ac:dyDescent="0.35">
      <c r="A64" s="36"/>
      <c r="B64" s="36"/>
      <c r="C64" s="39"/>
      <c r="D64" s="3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</row>
    <row r="65" spans="1:17" ht="15" customHeight="1" x14ac:dyDescent="0.35">
      <c r="A65" s="79" t="s">
        <v>77</v>
      </c>
      <c r="B65" s="104"/>
      <c r="C65" s="80"/>
      <c r="D65" s="34">
        <f>D17+D63</f>
        <v>3710.4799999999996</v>
      </c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</row>
    <row r="66" spans="1:17" ht="15" customHeight="1" x14ac:dyDescent="0.35">
      <c r="A66" s="28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</row>
    <row r="67" spans="1:17" ht="15" customHeight="1" x14ac:dyDescent="0.35">
      <c r="A67" s="89" t="s">
        <v>78</v>
      </c>
      <c r="B67" s="89"/>
      <c r="C67" s="89"/>
      <c r="D67" s="89"/>
      <c r="E67" s="89" t="s">
        <v>22</v>
      </c>
      <c r="F67" s="89"/>
      <c r="G67" s="89"/>
      <c r="H67" s="89"/>
      <c r="I67" s="89"/>
      <c r="J67" s="89"/>
      <c r="K67" s="89" t="s">
        <v>52</v>
      </c>
      <c r="L67" s="89"/>
      <c r="M67" s="89"/>
      <c r="N67" s="89"/>
      <c r="O67" s="89"/>
      <c r="P67" s="89"/>
      <c r="Q67" s="89"/>
    </row>
    <row r="68" spans="1:17" x14ac:dyDescent="0.35">
      <c r="A68" s="101" t="s">
        <v>79</v>
      </c>
      <c r="B68" s="112"/>
      <c r="C68" s="102"/>
      <c r="D68" s="40" t="s">
        <v>8</v>
      </c>
      <c r="E68" s="89"/>
      <c r="F68" s="89"/>
      <c r="G68" s="89"/>
      <c r="H68" s="89"/>
      <c r="I68" s="89"/>
      <c r="J68" s="89"/>
      <c r="K68" s="89"/>
      <c r="L68" s="89"/>
      <c r="M68" s="89"/>
      <c r="N68" s="89"/>
      <c r="O68" s="89"/>
      <c r="P68" s="89"/>
      <c r="Q68" s="89"/>
    </row>
    <row r="69" spans="1:17" ht="143.25" customHeight="1" x14ac:dyDescent="0.35">
      <c r="A69" s="73" t="s">
        <v>109</v>
      </c>
      <c r="B69" s="116"/>
      <c r="C69" s="74"/>
      <c r="D69" s="31">
        <f>24*15</f>
        <v>360</v>
      </c>
      <c r="E69" s="120" t="s">
        <v>119</v>
      </c>
      <c r="F69" s="120"/>
      <c r="G69" s="120"/>
      <c r="H69" s="120"/>
      <c r="I69" s="120"/>
      <c r="J69" s="120"/>
      <c r="K69" s="127"/>
      <c r="L69" s="127"/>
      <c r="M69" s="127"/>
      <c r="N69" s="127"/>
      <c r="O69" s="127"/>
      <c r="P69" s="127"/>
      <c r="Q69" s="127"/>
    </row>
    <row r="70" spans="1:17" ht="68.25" customHeight="1" x14ac:dyDescent="0.35">
      <c r="A70" s="117" t="s">
        <v>124</v>
      </c>
      <c r="B70" s="118"/>
      <c r="C70" s="119"/>
      <c r="D70" s="41">
        <f>(D69*5%)*-1</f>
        <v>-18</v>
      </c>
      <c r="E70" s="120" t="s">
        <v>189</v>
      </c>
      <c r="F70" s="120"/>
      <c r="G70" s="120"/>
      <c r="H70" s="120"/>
      <c r="I70" s="120"/>
      <c r="J70" s="120"/>
      <c r="K70" s="127"/>
      <c r="L70" s="127"/>
      <c r="M70" s="127"/>
      <c r="N70" s="127"/>
      <c r="O70" s="127"/>
      <c r="P70" s="127"/>
      <c r="Q70" s="127"/>
    </row>
    <row r="71" spans="1:17" ht="48" customHeight="1" x14ac:dyDescent="0.35">
      <c r="A71" s="73" t="s">
        <v>81</v>
      </c>
      <c r="B71" s="116"/>
      <c r="C71" s="74"/>
      <c r="D71" s="33">
        <f>3.8*2*15</f>
        <v>114</v>
      </c>
      <c r="E71" s="120" t="s">
        <v>120</v>
      </c>
      <c r="F71" s="120"/>
      <c r="G71" s="120"/>
      <c r="H71" s="120"/>
      <c r="I71" s="120"/>
      <c r="J71" s="120"/>
      <c r="K71" s="127"/>
      <c r="L71" s="127"/>
      <c r="M71" s="127"/>
      <c r="N71" s="127"/>
      <c r="O71" s="127"/>
      <c r="P71" s="127"/>
      <c r="Q71" s="127"/>
    </row>
    <row r="72" spans="1:17" ht="62.25" customHeight="1" x14ac:dyDescent="0.35">
      <c r="A72" s="121" t="s">
        <v>82</v>
      </c>
      <c r="B72" s="122"/>
      <c r="C72" s="123"/>
      <c r="D72" s="42">
        <f>(($D$13*6%)*-1)</f>
        <v>-78.3</v>
      </c>
      <c r="E72" s="120" t="s">
        <v>121</v>
      </c>
      <c r="F72" s="120"/>
      <c r="G72" s="120"/>
      <c r="H72" s="120"/>
      <c r="I72" s="120"/>
      <c r="J72" s="120"/>
      <c r="K72" s="127"/>
      <c r="L72" s="127"/>
      <c r="M72" s="127"/>
      <c r="N72" s="127"/>
      <c r="O72" s="127"/>
      <c r="P72" s="127"/>
      <c r="Q72" s="127"/>
    </row>
    <row r="73" spans="1:17" ht="39.75" customHeight="1" x14ac:dyDescent="0.35">
      <c r="A73" s="113" t="s">
        <v>122</v>
      </c>
      <c r="B73" s="114"/>
      <c r="C73" s="115"/>
      <c r="D73" s="43">
        <v>104.3</v>
      </c>
      <c r="E73" s="120" t="s">
        <v>123</v>
      </c>
      <c r="F73" s="120"/>
      <c r="G73" s="120"/>
      <c r="H73" s="120"/>
      <c r="I73" s="120"/>
      <c r="J73" s="120"/>
      <c r="K73" s="127"/>
      <c r="L73" s="127"/>
      <c r="M73" s="127"/>
      <c r="N73" s="127"/>
      <c r="O73" s="127"/>
      <c r="P73" s="127"/>
      <c r="Q73" s="127"/>
    </row>
    <row r="74" spans="1:17" ht="52.5" customHeight="1" x14ac:dyDescent="0.35">
      <c r="A74" s="121" t="s">
        <v>125</v>
      </c>
      <c r="B74" s="122"/>
      <c r="C74" s="123"/>
      <c r="D74" s="42">
        <v>-1</v>
      </c>
      <c r="E74" s="120" t="s">
        <v>126</v>
      </c>
      <c r="F74" s="120"/>
      <c r="G74" s="120"/>
      <c r="H74" s="120"/>
      <c r="I74" s="120"/>
      <c r="J74" s="120"/>
      <c r="K74" s="127"/>
      <c r="L74" s="127"/>
      <c r="M74" s="127"/>
      <c r="N74" s="127"/>
      <c r="O74" s="127"/>
      <c r="P74" s="127"/>
      <c r="Q74" s="127"/>
    </row>
    <row r="75" spans="1:17" ht="25.5" customHeight="1" x14ac:dyDescent="0.35">
      <c r="A75" s="113" t="s">
        <v>80</v>
      </c>
      <c r="B75" s="114"/>
      <c r="C75" s="115"/>
      <c r="D75" s="31">
        <f>'Uniforme Vigilante'!H32:H32</f>
        <v>82.270833333333343</v>
      </c>
      <c r="E75" s="120" t="s">
        <v>179</v>
      </c>
      <c r="F75" s="120"/>
      <c r="G75" s="120"/>
      <c r="H75" s="120"/>
      <c r="I75" s="120"/>
      <c r="J75" s="120"/>
      <c r="K75" s="127"/>
      <c r="L75" s="127"/>
      <c r="M75" s="127"/>
      <c r="N75" s="127"/>
      <c r="O75" s="127"/>
      <c r="P75" s="127"/>
      <c r="Q75" s="127"/>
    </row>
    <row r="76" spans="1:17" ht="25.5" customHeight="1" x14ac:dyDescent="0.35">
      <c r="A76" s="113" t="s">
        <v>154</v>
      </c>
      <c r="B76" s="114"/>
      <c r="C76" s="115"/>
      <c r="D76" s="31">
        <f>'Manut. Depre. Munição Vigilante'!J21:J21</f>
        <v>42.854181466666667</v>
      </c>
      <c r="E76" s="120" t="s">
        <v>183</v>
      </c>
      <c r="F76" s="120"/>
      <c r="G76" s="120"/>
      <c r="H76" s="120"/>
      <c r="I76" s="120"/>
      <c r="J76" s="120"/>
      <c r="K76" s="127"/>
      <c r="L76" s="127"/>
      <c r="M76" s="127"/>
      <c r="N76" s="127"/>
      <c r="O76" s="127"/>
      <c r="P76" s="127"/>
      <c r="Q76" s="127"/>
    </row>
    <row r="77" spans="1:17" ht="15" customHeight="1" x14ac:dyDescent="0.35">
      <c r="A77" s="88" t="s">
        <v>83</v>
      </c>
      <c r="B77" s="88"/>
      <c r="C77" s="88"/>
      <c r="D77" s="34">
        <f>SUM(D69:D76)</f>
        <v>606.12501480000003</v>
      </c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</row>
    <row r="78" spans="1:17" ht="15" customHeight="1" x14ac:dyDescent="0.35">
      <c r="A78" s="36"/>
      <c r="B78" s="36"/>
      <c r="C78" s="36"/>
      <c r="D78" s="3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</row>
    <row r="79" spans="1:17" ht="30" customHeight="1" x14ac:dyDescent="0.35">
      <c r="A79" s="79" t="s">
        <v>85</v>
      </c>
      <c r="B79" s="104"/>
      <c r="C79" s="80"/>
      <c r="D79" s="34">
        <f>D65+D77</f>
        <v>4316.6050147999995</v>
      </c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</row>
    <row r="80" spans="1:17" x14ac:dyDescent="0.35">
      <c r="A80" s="36"/>
      <c r="B80" s="36"/>
      <c r="C80" s="36"/>
      <c r="D80" s="3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</row>
    <row r="81" spans="1:17" x14ac:dyDescent="0.35">
      <c r="A81" s="89" t="s">
        <v>158</v>
      </c>
      <c r="B81" s="89"/>
      <c r="C81" s="89"/>
      <c r="D81" s="89"/>
      <c r="E81" s="89" t="s">
        <v>22</v>
      </c>
      <c r="F81" s="89"/>
      <c r="G81" s="89"/>
      <c r="H81" s="89"/>
      <c r="I81" s="89"/>
      <c r="J81" s="89"/>
      <c r="K81" s="89" t="s">
        <v>52</v>
      </c>
      <c r="L81" s="89"/>
      <c r="M81" s="89"/>
      <c r="N81" s="89"/>
      <c r="O81" s="89"/>
      <c r="P81" s="89"/>
      <c r="Q81" s="89"/>
    </row>
    <row r="82" spans="1:17" x14ac:dyDescent="0.35">
      <c r="A82" s="75" t="s">
        <v>115</v>
      </c>
      <c r="B82" s="125"/>
      <c r="C82" s="76"/>
      <c r="D82" s="30" t="s">
        <v>8</v>
      </c>
      <c r="E82" s="89"/>
      <c r="F82" s="89"/>
      <c r="G82" s="89"/>
      <c r="H82" s="89"/>
      <c r="I82" s="89"/>
      <c r="J82" s="89"/>
      <c r="K82" s="89"/>
      <c r="L82" s="89"/>
      <c r="M82" s="89"/>
      <c r="N82" s="89"/>
      <c r="O82" s="89"/>
      <c r="P82" s="89"/>
      <c r="Q82" s="89"/>
    </row>
    <row r="83" spans="1:17" ht="61.5" customHeight="1" x14ac:dyDescent="0.35">
      <c r="A83" s="77" t="s">
        <v>115</v>
      </c>
      <c r="B83" s="124"/>
      <c r="C83" s="78"/>
      <c r="D83" s="33">
        <f>TRUNC((D13+D14+D15)/192*1.5*15,2)</f>
        <v>223.66</v>
      </c>
      <c r="E83" s="69" t="s">
        <v>166</v>
      </c>
      <c r="F83" s="69"/>
      <c r="G83" s="69"/>
      <c r="H83" s="69"/>
      <c r="I83" s="69"/>
      <c r="J83" s="69"/>
      <c r="K83" s="127" t="s">
        <v>245</v>
      </c>
      <c r="L83" s="127"/>
      <c r="M83" s="127"/>
      <c r="N83" s="127"/>
      <c r="O83" s="127"/>
      <c r="P83" s="127"/>
      <c r="Q83" s="127"/>
    </row>
    <row r="84" spans="1:17" ht="15" customHeight="1" x14ac:dyDescent="0.35">
      <c r="A84" s="88" t="s">
        <v>159</v>
      </c>
      <c r="B84" s="88"/>
      <c r="C84" s="88"/>
      <c r="D84" s="34">
        <f>D83</f>
        <v>223.66</v>
      </c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</row>
    <row r="85" spans="1:17" x14ac:dyDescent="0.35">
      <c r="A85" s="36"/>
      <c r="B85" s="36"/>
      <c r="C85" s="36"/>
      <c r="D85" s="3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</row>
    <row r="86" spans="1:17" ht="30" customHeight="1" x14ac:dyDescent="0.35">
      <c r="A86" s="79" t="s">
        <v>157</v>
      </c>
      <c r="B86" s="104"/>
      <c r="C86" s="80"/>
      <c r="D86" s="34">
        <f>D79+D84</f>
        <v>4540.2650147999993</v>
      </c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</row>
    <row r="87" spans="1:17" x14ac:dyDescent="0.35">
      <c r="A87" s="36"/>
      <c r="B87" s="36"/>
      <c r="C87" s="36"/>
      <c r="D87" s="3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</row>
    <row r="88" spans="1:17" x14ac:dyDescent="0.35">
      <c r="A88" s="89" t="s">
        <v>160</v>
      </c>
      <c r="B88" s="89"/>
      <c r="C88" s="89"/>
      <c r="D88" s="89"/>
      <c r="E88" s="89" t="s">
        <v>22</v>
      </c>
      <c r="F88" s="89"/>
      <c r="G88" s="89"/>
      <c r="H88" s="89"/>
      <c r="I88" s="89"/>
      <c r="J88" s="89"/>
      <c r="K88" s="89" t="s">
        <v>52</v>
      </c>
      <c r="L88" s="89"/>
      <c r="M88" s="89"/>
      <c r="N88" s="89"/>
      <c r="O88" s="89"/>
      <c r="P88" s="89"/>
      <c r="Q88" s="89"/>
    </row>
    <row r="89" spans="1:17" x14ac:dyDescent="0.35">
      <c r="A89" s="75" t="s">
        <v>86</v>
      </c>
      <c r="B89" s="76"/>
      <c r="C89" s="30" t="s">
        <v>7</v>
      </c>
      <c r="D89" s="30" t="s">
        <v>8</v>
      </c>
      <c r="E89" s="89"/>
      <c r="F89" s="89"/>
      <c r="G89" s="89"/>
      <c r="H89" s="89"/>
      <c r="I89" s="89"/>
      <c r="J89" s="89"/>
      <c r="K89" s="89"/>
      <c r="L89" s="89"/>
      <c r="M89" s="89"/>
      <c r="N89" s="89"/>
      <c r="O89" s="89"/>
      <c r="P89" s="89"/>
      <c r="Q89" s="89"/>
    </row>
    <row r="90" spans="1:17" s="1" customFormat="1" ht="30" customHeight="1" x14ac:dyDescent="0.3">
      <c r="A90" s="77" t="s">
        <v>87</v>
      </c>
      <c r="B90" s="78"/>
      <c r="C90" s="33">
        <v>5</v>
      </c>
      <c r="D90" s="44">
        <f>$D$86*C90%</f>
        <v>227.01325073999999</v>
      </c>
      <c r="E90" s="105" t="s">
        <v>247</v>
      </c>
      <c r="F90" s="106"/>
      <c r="G90" s="106"/>
      <c r="H90" s="106"/>
      <c r="I90" s="106"/>
      <c r="J90" s="107"/>
      <c r="K90" s="127"/>
      <c r="L90" s="127"/>
      <c r="M90" s="127"/>
      <c r="N90" s="127"/>
      <c r="O90" s="127"/>
      <c r="P90" s="127"/>
      <c r="Q90" s="127"/>
    </row>
    <row r="91" spans="1:17" s="1" customFormat="1" ht="30" customHeight="1" x14ac:dyDescent="0.3">
      <c r="A91" s="77" t="s">
        <v>11</v>
      </c>
      <c r="B91" s="78"/>
      <c r="C91" s="33">
        <v>10</v>
      </c>
      <c r="D91" s="44">
        <f>(D86+D90)*C91%</f>
        <v>476.72782655399999</v>
      </c>
      <c r="E91" s="108"/>
      <c r="F91" s="109"/>
      <c r="G91" s="109"/>
      <c r="H91" s="109"/>
      <c r="I91" s="109"/>
      <c r="J91" s="110"/>
      <c r="K91" s="127"/>
      <c r="L91" s="127"/>
      <c r="M91" s="127"/>
      <c r="N91" s="127"/>
      <c r="O91" s="127"/>
      <c r="P91" s="127"/>
      <c r="Q91" s="127"/>
    </row>
    <row r="92" spans="1:17" x14ac:dyDescent="0.35">
      <c r="A92" s="79" t="s">
        <v>88</v>
      </c>
      <c r="B92" s="80"/>
      <c r="C92" s="45">
        <f>SUM(C90:C91)</f>
        <v>15</v>
      </c>
      <c r="D92" s="34">
        <f>SUM(D90:D91)</f>
        <v>703.74107729399998</v>
      </c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</row>
    <row r="93" spans="1:17" x14ac:dyDescent="0.35">
      <c r="A93" s="36"/>
      <c r="B93" s="36"/>
      <c r="C93" s="37"/>
      <c r="D93" s="3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</row>
    <row r="94" spans="1:17" ht="27.5" customHeight="1" x14ac:dyDescent="0.35">
      <c r="A94" s="79" t="s">
        <v>161</v>
      </c>
      <c r="B94" s="104"/>
      <c r="C94" s="80"/>
      <c r="D94" s="34">
        <f>D86+D92</f>
        <v>5244.0060920939995</v>
      </c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</row>
    <row r="95" spans="1:17" x14ac:dyDescent="0.35">
      <c r="A95" s="36"/>
      <c r="B95" s="36"/>
      <c r="C95" s="36"/>
      <c r="D95" s="3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</row>
    <row r="96" spans="1:17" ht="35.25" customHeight="1" x14ac:dyDescent="0.35">
      <c r="A96" s="126" t="s">
        <v>111</v>
      </c>
      <c r="B96" s="126"/>
      <c r="C96" s="46">
        <f>(-1+(SUM(C99:C101)/100))*(-1)</f>
        <v>0.91349999999999998</v>
      </c>
      <c r="D96" s="34">
        <f>D94/C96</f>
        <v>5740.564961241379</v>
      </c>
      <c r="E96" s="127"/>
      <c r="F96" s="127"/>
      <c r="G96" s="127"/>
      <c r="H96" s="127"/>
      <c r="I96" s="127"/>
      <c r="J96" s="28"/>
      <c r="K96" s="28"/>
      <c r="L96" s="28"/>
      <c r="M96" s="28"/>
      <c r="N96" s="28"/>
      <c r="O96" s="28"/>
      <c r="P96" s="28"/>
      <c r="Q96" s="28"/>
    </row>
    <row r="97" spans="1:17" x14ac:dyDescent="0.35">
      <c r="A97" s="28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</row>
    <row r="98" spans="1:17" x14ac:dyDescent="0.35">
      <c r="A98" s="75" t="s">
        <v>89</v>
      </c>
      <c r="B98" s="76"/>
      <c r="C98" s="30" t="s">
        <v>7</v>
      </c>
      <c r="D98" s="30" t="s">
        <v>8</v>
      </c>
      <c r="E98" s="89" t="s">
        <v>22</v>
      </c>
      <c r="F98" s="89"/>
      <c r="G98" s="89"/>
      <c r="H98" s="89"/>
      <c r="I98" s="89"/>
      <c r="J98" s="89"/>
      <c r="K98" s="89" t="s">
        <v>52</v>
      </c>
      <c r="L98" s="89"/>
      <c r="M98" s="89"/>
      <c r="N98" s="89"/>
      <c r="O98" s="89"/>
      <c r="P98" s="89"/>
      <c r="Q98" s="89"/>
    </row>
    <row r="99" spans="1:17" ht="22" customHeight="1" x14ac:dyDescent="0.35">
      <c r="A99" s="77" t="s">
        <v>90</v>
      </c>
      <c r="B99" s="78"/>
      <c r="C99" s="33">
        <v>5</v>
      </c>
      <c r="D99" s="33">
        <f>$D$96*C99%</f>
        <v>287.02824806206894</v>
      </c>
      <c r="E99" s="111" t="s">
        <v>248</v>
      </c>
      <c r="F99" s="111"/>
      <c r="G99" s="111"/>
      <c r="H99" s="111"/>
      <c r="I99" s="111"/>
      <c r="J99" s="111"/>
      <c r="K99" s="103"/>
      <c r="L99" s="103"/>
      <c r="M99" s="103"/>
      <c r="N99" s="103"/>
      <c r="O99" s="103"/>
      <c r="P99" s="103"/>
      <c r="Q99" s="103"/>
    </row>
    <row r="100" spans="1:17" ht="22" customHeight="1" x14ac:dyDescent="0.35">
      <c r="A100" s="77" t="s">
        <v>91</v>
      </c>
      <c r="B100" s="78"/>
      <c r="C100" s="33">
        <v>3</v>
      </c>
      <c r="D100" s="33">
        <f>$D$96*C100%</f>
        <v>172.21694883724138</v>
      </c>
      <c r="E100" s="111"/>
      <c r="F100" s="111"/>
      <c r="G100" s="111"/>
      <c r="H100" s="111"/>
      <c r="I100" s="111"/>
      <c r="J100" s="111"/>
      <c r="K100" s="103"/>
      <c r="L100" s="103"/>
      <c r="M100" s="103"/>
      <c r="N100" s="103"/>
      <c r="O100" s="103"/>
      <c r="P100" s="103"/>
      <c r="Q100" s="103"/>
    </row>
    <row r="101" spans="1:17" ht="22" customHeight="1" x14ac:dyDescent="0.35">
      <c r="A101" s="77" t="s">
        <v>92</v>
      </c>
      <c r="B101" s="78"/>
      <c r="C101" s="2">
        <v>0.65</v>
      </c>
      <c r="D101" s="33">
        <f>$D$96*C101%</f>
        <v>37.313672248068968</v>
      </c>
      <c r="E101" s="111"/>
      <c r="F101" s="111"/>
      <c r="G101" s="111"/>
      <c r="H101" s="111"/>
      <c r="I101" s="111"/>
      <c r="J101" s="111"/>
      <c r="K101" s="103"/>
      <c r="L101" s="103"/>
      <c r="M101" s="103"/>
      <c r="N101" s="103"/>
      <c r="O101" s="103"/>
      <c r="P101" s="103"/>
      <c r="Q101" s="103"/>
    </row>
    <row r="102" spans="1:17" x14ac:dyDescent="0.35">
      <c r="A102" s="79" t="s">
        <v>93</v>
      </c>
      <c r="B102" s="80"/>
      <c r="C102" s="45">
        <f>SUM(C99:C101)</f>
        <v>8.65</v>
      </c>
      <c r="D102" s="34">
        <f>SUM(D99:D101)</f>
        <v>496.55886914737926</v>
      </c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</row>
    <row r="103" spans="1:17" x14ac:dyDescent="0.35">
      <c r="A103" s="28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</row>
    <row r="104" spans="1:17" ht="25" customHeight="1" x14ac:dyDescent="0.35">
      <c r="A104" s="79" t="s">
        <v>94</v>
      </c>
      <c r="B104" s="104"/>
      <c r="C104" s="80"/>
      <c r="D104" s="34">
        <f>D86+D92+D102</f>
        <v>5740.564961241379</v>
      </c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</row>
    <row r="105" spans="1:17" ht="25" customHeight="1" x14ac:dyDescent="0.35">
      <c r="A105" s="79" t="s">
        <v>175</v>
      </c>
      <c r="B105" s="104"/>
      <c r="C105" s="80"/>
      <c r="D105" s="34">
        <f>D104*2</f>
        <v>11481.129922482758</v>
      </c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</row>
    <row r="106" spans="1:17" ht="25" customHeight="1" x14ac:dyDescent="0.35">
      <c r="A106" s="79" t="s">
        <v>156</v>
      </c>
      <c r="B106" s="104"/>
      <c r="C106" s="80"/>
      <c r="D106" s="34">
        <f>D105*12</f>
        <v>137773.55906979309</v>
      </c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</row>
  </sheetData>
  <mergeCells count="158">
    <mergeCell ref="K98:Q98"/>
    <mergeCell ref="K99:Q101"/>
    <mergeCell ref="K88:Q89"/>
    <mergeCell ref="K90:Q91"/>
    <mergeCell ref="K81:Q82"/>
    <mergeCell ref="K83:Q83"/>
    <mergeCell ref="K67:Q68"/>
    <mergeCell ref="K69:Q76"/>
    <mergeCell ref="K11:Q12"/>
    <mergeCell ref="K13:Q16"/>
    <mergeCell ref="K31:Q31"/>
    <mergeCell ref="A102:B102"/>
    <mergeCell ref="A104:C104"/>
    <mergeCell ref="A105:C105"/>
    <mergeCell ref="A106:C106"/>
    <mergeCell ref="A15:B15"/>
    <mergeCell ref="A16:B16"/>
    <mergeCell ref="A98:B98"/>
    <mergeCell ref="E98:J98"/>
    <mergeCell ref="A99:B99"/>
    <mergeCell ref="E99:J101"/>
    <mergeCell ref="A100:B100"/>
    <mergeCell ref="A101:B101"/>
    <mergeCell ref="A90:B90"/>
    <mergeCell ref="E90:J91"/>
    <mergeCell ref="A91:B91"/>
    <mergeCell ref="A92:B92"/>
    <mergeCell ref="A94:C94"/>
    <mergeCell ref="A96:B96"/>
    <mergeCell ref="E96:I96"/>
    <mergeCell ref="A83:C83"/>
    <mergeCell ref="E83:J83"/>
    <mergeCell ref="A84:C84"/>
    <mergeCell ref="A86:C86"/>
    <mergeCell ref="A88:D88"/>
    <mergeCell ref="E88:J89"/>
    <mergeCell ref="A89:B89"/>
    <mergeCell ref="A76:C76"/>
    <mergeCell ref="E76:J76"/>
    <mergeCell ref="A77:C77"/>
    <mergeCell ref="A81:D81"/>
    <mergeCell ref="E81:J82"/>
    <mergeCell ref="A82:C82"/>
    <mergeCell ref="A73:C73"/>
    <mergeCell ref="E73:J73"/>
    <mergeCell ref="A74:C74"/>
    <mergeCell ref="E74:J74"/>
    <mergeCell ref="A75:C75"/>
    <mergeCell ref="E75:J75"/>
    <mergeCell ref="A79:C79"/>
    <mergeCell ref="A70:C70"/>
    <mergeCell ref="E70:J70"/>
    <mergeCell ref="A71:C71"/>
    <mergeCell ref="E71:J71"/>
    <mergeCell ref="A72:C72"/>
    <mergeCell ref="E72:J72"/>
    <mergeCell ref="A63:B63"/>
    <mergeCell ref="A65:C65"/>
    <mergeCell ref="A67:D67"/>
    <mergeCell ref="E67:J68"/>
    <mergeCell ref="A68:C68"/>
    <mergeCell ref="A69:C69"/>
    <mergeCell ref="E69:J69"/>
    <mergeCell ref="A58:B58"/>
    <mergeCell ref="A60:B60"/>
    <mergeCell ref="E60:J60"/>
    <mergeCell ref="A61:B61"/>
    <mergeCell ref="E61:J61"/>
    <mergeCell ref="A62:B62"/>
    <mergeCell ref="A55:B55"/>
    <mergeCell ref="E55:J55"/>
    <mergeCell ref="K55:Q57"/>
    <mergeCell ref="A56:B56"/>
    <mergeCell ref="E56:J56"/>
    <mergeCell ref="A57:B57"/>
    <mergeCell ref="E57:J57"/>
    <mergeCell ref="A52:B52"/>
    <mergeCell ref="A54:B54"/>
    <mergeCell ref="E54:J54"/>
    <mergeCell ref="K54:Q54"/>
    <mergeCell ref="E46:J46"/>
    <mergeCell ref="A47:B47"/>
    <mergeCell ref="E47:J47"/>
    <mergeCell ref="A48:B48"/>
    <mergeCell ref="A50:B50"/>
    <mergeCell ref="E50:J50"/>
    <mergeCell ref="A43:B43"/>
    <mergeCell ref="E43:J43"/>
    <mergeCell ref="K43:Q47"/>
    <mergeCell ref="A44:B44"/>
    <mergeCell ref="E44:J44"/>
    <mergeCell ref="A45:B45"/>
    <mergeCell ref="E45:J45"/>
    <mergeCell ref="A46:B46"/>
    <mergeCell ref="A51:B51"/>
    <mergeCell ref="E51:J51"/>
    <mergeCell ref="A40:B40"/>
    <mergeCell ref="A42:B42"/>
    <mergeCell ref="E42:J42"/>
    <mergeCell ref="K42:Q42"/>
    <mergeCell ref="A36:B36"/>
    <mergeCell ref="E36:J36"/>
    <mergeCell ref="A37:B37"/>
    <mergeCell ref="E37:J37"/>
    <mergeCell ref="A38:B38"/>
    <mergeCell ref="E38:J38"/>
    <mergeCell ref="A32:B32"/>
    <mergeCell ref="E32:J32"/>
    <mergeCell ref="K32:Q39"/>
    <mergeCell ref="A33:B33"/>
    <mergeCell ref="E33:J33"/>
    <mergeCell ref="A34:B34"/>
    <mergeCell ref="E34:J34"/>
    <mergeCell ref="A35:B35"/>
    <mergeCell ref="E35:J35"/>
    <mergeCell ref="A39:B39"/>
    <mergeCell ref="E39:J39"/>
    <mergeCell ref="A27:B27"/>
    <mergeCell ref="E27:J27"/>
    <mergeCell ref="A28:B28"/>
    <mergeCell ref="E28:J28"/>
    <mergeCell ref="A29:B29"/>
    <mergeCell ref="A31:B31"/>
    <mergeCell ref="E31:J31"/>
    <mergeCell ref="A24:B24"/>
    <mergeCell ref="E24:J24"/>
    <mergeCell ref="A25:B25"/>
    <mergeCell ref="E25:J25"/>
    <mergeCell ref="A26:B26"/>
    <mergeCell ref="E26:J26"/>
    <mergeCell ref="A22:B22"/>
    <mergeCell ref="E22:J22"/>
    <mergeCell ref="A23:B23"/>
    <mergeCell ref="E23:J23"/>
    <mergeCell ref="A13:B13"/>
    <mergeCell ref="E13:J13"/>
    <mergeCell ref="A14:B14"/>
    <mergeCell ref="E14:J14"/>
    <mergeCell ref="A17:C17"/>
    <mergeCell ref="A19:D19"/>
    <mergeCell ref="E19:J20"/>
    <mergeCell ref="A20:B20"/>
    <mergeCell ref="E15:J15"/>
    <mergeCell ref="E16:J16"/>
    <mergeCell ref="G2:Q2"/>
    <mergeCell ref="G3:Q8"/>
    <mergeCell ref="A10:Q10"/>
    <mergeCell ref="A11:D11"/>
    <mergeCell ref="E11:J12"/>
    <mergeCell ref="A12:B12"/>
    <mergeCell ref="A21:B21"/>
    <mergeCell ref="E21:J21"/>
    <mergeCell ref="A1:Q1"/>
    <mergeCell ref="B2:E2"/>
    <mergeCell ref="B3:E3"/>
    <mergeCell ref="B4:E4"/>
    <mergeCell ref="B5:E5"/>
    <mergeCell ref="B6:E6"/>
  </mergeCells>
  <pageMargins left="0.51181102362204722" right="0.51181102362204722" top="1.1811023622047245" bottom="1.1811023622047245" header="0.31496062992125984" footer="0.31496062992125984"/>
  <pageSetup paperSize="9" scale="49" fitToHeight="0" orientation="portrait" r:id="rId1"/>
  <headerFooter>
    <oddHeader>&amp;C&amp;"Arial Black,Normal"&amp;24COREN-AM - &amp;16PLANILHA(S) DETALHADA DE CUSTO - VIGILANTE(S) ARMADO e AGENTE DE PORTARIA - 11/05/2020</oddHeader>
    <oddFooter>&amp;LRua Tapajós, 350 – Centro, Manaus-AM, 69010-150
Horário: 8h às 16 horas. 
Telefone: (92) 3232-9924
http://www.corenam.gov.br/
e-mail: selic@corenam.gov.br&amp;CPágina &amp;P de &amp;N&amp;RSETOR DE LICITAÇÕES E 
CONTRATOS - SELIC/COREN-AM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95"/>
  <sheetViews>
    <sheetView zoomScaleNormal="100" workbookViewId="0">
      <selection sqref="A1:Q95"/>
    </sheetView>
  </sheetViews>
  <sheetFormatPr defaultRowHeight="14.5" x14ac:dyDescent="0.35"/>
  <cols>
    <col min="1" max="1" width="33.453125" customWidth="1"/>
    <col min="2" max="2" width="14.6328125" customWidth="1"/>
    <col min="3" max="3" width="10.81640625" customWidth="1"/>
    <col min="4" max="4" width="12.26953125" customWidth="1"/>
  </cols>
  <sheetData>
    <row r="1" spans="1:17" x14ac:dyDescent="0.3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</row>
    <row r="2" spans="1:17" x14ac:dyDescent="0.35">
      <c r="A2" s="27" t="s">
        <v>3</v>
      </c>
      <c r="B2" s="127" t="s">
        <v>200</v>
      </c>
      <c r="C2" s="127"/>
      <c r="D2" s="127"/>
      <c r="E2" s="127"/>
      <c r="F2" s="28"/>
      <c r="G2" s="89" t="s">
        <v>84</v>
      </c>
      <c r="H2" s="89"/>
      <c r="I2" s="89"/>
      <c r="J2" s="89"/>
      <c r="K2" s="89"/>
      <c r="L2" s="89"/>
      <c r="M2" s="89"/>
      <c r="N2" s="89"/>
      <c r="O2" s="89"/>
      <c r="P2" s="89"/>
      <c r="Q2" s="89"/>
    </row>
    <row r="3" spans="1:17" ht="15" customHeight="1" x14ac:dyDescent="0.35">
      <c r="A3" s="27" t="s">
        <v>107</v>
      </c>
      <c r="B3" s="127" t="s">
        <v>174</v>
      </c>
      <c r="C3" s="127"/>
      <c r="D3" s="127"/>
      <c r="E3" s="127"/>
      <c r="F3" s="28"/>
      <c r="G3" s="92" t="s">
        <v>270</v>
      </c>
      <c r="H3" s="93"/>
      <c r="I3" s="93"/>
      <c r="J3" s="93"/>
      <c r="K3" s="93"/>
      <c r="L3" s="93"/>
      <c r="M3" s="93"/>
      <c r="N3" s="93"/>
      <c r="O3" s="93"/>
      <c r="P3" s="93"/>
      <c r="Q3" s="94"/>
    </row>
    <row r="4" spans="1:17" ht="15" customHeight="1" x14ac:dyDescent="0.35">
      <c r="A4" s="22" t="s">
        <v>2</v>
      </c>
      <c r="B4" s="127" t="s">
        <v>1</v>
      </c>
      <c r="C4" s="127"/>
      <c r="D4" s="127"/>
      <c r="E4" s="127"/>
      <c r="F4" s="28"/>
      <c r="G4" s="95"/>
      <c r="H4" s="96"/>
      <c r="I4" s="96"/>
      <c r="J4" s="96"/>
      <c r="K4" s="96"/>
      <c r="L4" s="96"/>
      <c r="M4" s="96"/>
      <c r="N4" s="96"/>
      <c r="O4" s="96"/>
      <c r="P4" s="96"/>
      <c r="Q4" s="97"/>
    </row>
    <row r="5" spans="1:17" ht="26" x14ac:dyDescent="0.35">
      <c r="A5" s="22" t="s">
        <v>4</v>
      </c>
      <c r="B5" s="127">
        <v>1</v>
      </c>
      <c r="C5" s="127"/>
      <c r="D5" s="127"/>
      <c r="E5" s="127"/>
      <c r="F5" s="28"/>
      <c r="G5" s="95"/>
      <c r="H5" s="96"/>
      <c r="I5" s="96"/>
      <c r="J5" s="96"/>
      <c r="K5" s="96"/>
      <c r="L5" s="96"/>
      <c r="M5" s="96"/>
      <c r="N5" s="96"/>
      <c r="O5" s="96"/>
      <c r="P5" s="96"/>
      <c r="Q5" s="97"/>
    </row>
    <row r="6" spans="1:17" ht="39" x14ac:dyDescent="0.35">
      <c r="A6" s="22" t="s">
        <v>108</v>
      </c>
      <c r="B6" s="127" t="s">
        <v>229</v>
      </c>
      <c r="C6" s="127"/>
      <c r="D6" s="127"/>
      <c r="E6" s="127"/>
      <c r="F6" s="28"/>
      <c r="G6" s="95"/>
      <c r="H6" s="96"/>
      <c r="I6" s="96"/>
      <c r="J6" s="96"/>
      <c r="K6" s="96"/>
      <c r="L6" s="96"/>
      <c r="M6" s="96"/>
      <c r="N6" s="96"/>
      <c r="O6" s="96"/>
      <c r="P6" s="96"/>
      <c r="Q6" s="97"/>
    </row>
    <row r="7" spans="1:17" ht="21" customHeight="1" x14ac:dyDescent="0.35">
      <c r="A7" s="23"/>
      <c r="B7" s="24"/>
      <c r="C7" s="28"/>
      <c r="D7" s="28"/>
      <c r="E7" s="28"/>
      <c r="F7" s="28"/>
      <c r="G7" s="95"/>
      <c r="H7" s="96"/>
      <c r="I7" s="96"/>
      <c r="J7" s="96"/>
      <c r="K7" s="96"/>
      <c r="L7" s="96"/>
      <c r="M7" s="96"/>
      <c r="N7" s="96"/>
      <c r="O7" s="96"/>
      <c r="P7" s="96"/>
      <c r="Q7" s="97"/>
    </row>
    <row r="8" spans="1:17" ht="21" customHeight="1" x14ac:dyDescent="0.35">
      <c r="A8" s="23"/>
      <c r="B8" s="24"/>
      <c r="C8" s="28"/>
      <c r="D8" s="28"/>
      <c r="E8" s="28"/>
      <c r="F8" s="28"/>
      <c r="G8" s="98"/>
      <c r="H8" s="99"/>
      <c r="I8" s="99"/>
      <c r="J8" s="99"/>
      <c r="K8" s="99"/>
      <c r="L8" s="99"/>
      <c r="M8" s="99"/>
      <c r="N8" s="99"/>
      <c r="O8" s="99"/>
      <c r="P8" s="99"/>
      <c r="Q8" s="100"/>
    </row>
    <row r="9" spans="1:17" x14ac:dyDescent="0.35">
      <c r="A9" s="29"/>
      <c r="B9" s="29"/>
      <c r="C9" s="29"/>
      <c r="D9" s="29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</row>
    <row r="10" spans="1:17" x14ac:dyDescent="0.35">
      <c r="A10" s="91" t="s">
        <v>5</v>
      </c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</row>
    <row r="11" spans="1:17" x14ac:dyDescent="0.35">
      <c r="A11" s="84" t="s">
        <v>24</v>
      </c>
      <c r="B11" s="85"/>
      <c r="C11" s="85"/>
      <c r="D11" s="86"/>
      <c r="E11" s="90" t="s">
        <v>22</v>
      </c>
      <c r="F11" s="90"/>
      <c r="G11" s="90"/>
      <c r="H11" s="90"/>
      <c r="I11" s="90"/>
      <c r="J11" s="90"/>
      <c r="K11" s="89" t="s">
        <v>52</v>
      </c>
      <c r="L11" s="89"/>
      <c r="M11" s="89"/>
      <c r="N11" s="89"/>
      <c r="O11" s="89"/>
      <c r="P11" s="89"/>
      <c r="Q11" s="89"/>
    </row>
    <row r="12" spans="1:17" x14ac:dyDescent="0.35">
      <c r="A12" s="101" t="s">
        <v>6</v>
      </c>
      <c r="B12" s="102"/>
      <c r="C12" s="30" t="s">
        <v>7</v>
      </c>
      <c r="D12" s="30" t="s">
        <v>8</v>
      </c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89"/>
    </row>
    <row r="13" spans="1:17" ht="40.5" customHeight="1" x14ac:dyDescent="0.35">
      <c r="A13" s="77" t="s">
        <v>9</v>
      </c>
      <c r="B13" s="78"/>
      <c r="C13" s="2" t="s">
        <v>97</v>
      </c>
      <c r="D13" s="31">
        <v>1139.5999999999999</v>
      </c>
      <c r="E13" s="69" t="s">
        <v>230</v>
      </c>
      <c r="F13" s="69"/>
      <c r="G13" s="69"/>
      <c r="H13" s="69"/>
      <c r="I13" s="69"/>
      <c r="J13" s="69"/>
      <c r="K13" s="127"/>
      <c r="L13" s="127"/>
      <c r="M13" s="127"/>
      <c r="N13" s="127"/>
      <c r="O13" s="127"/>
      <c r="P13" s="127"/>
      <c r="Q13" s="127"/>
    </row>
    <row r="14" spans="1:17" ht="36" customHeight="1" x14ac:dyDescent="0.35">
      <c r="A14" s="73" t="s">
        <v>176</v>
      </c>
      <c r="B14" s="74"/>
      <c r="C14" s="32"/>
      <c r="D14" s="33">
        <f>C14*D13/100</f>
        <v>0</v>
      </c>
      <c r="E14" s="69" t="s">
        <v>97</v>
      </c>
      <c r="F14" s="69"/>
      <c r="G14" s="69"/>
      <c r="H14" s="69"/>
      <c r="I14" s="69"/>
      <c r="J14" s="69"/>
      <c r="K14" s="127"/>
      <c r="L14" s="127"/>
      <c r="M14" s="127"/>
      <c r="N14" s="127"/>
      <c r="O14" s="127"/>
      <c r="P14" s="127"/>
      <c r="Q14" s="127"/>
    </row>
    <row r="15" spans="1:17" x14ac:dyDescent="0.35">
      <c r="A15" s="88" t="s">
        <v>35</v>
      </c>
      <c r="B15" s="88"/>
      <c r="C15" s="88"/>
      <c r="D15" s="34">
        <f>SUM(D13:D14)</f>
        <v>1139.5999999999999</v>
      </c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</row>
    <row r="16" spans="1:17" x14ac:dyDescent="0.35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</row>
    <row r="17" spans="1:17" x14ac:dyDescent="0.35">
      <c r="A17" s="89" t="s">
        <v>23</v>
      </c>
      <c r="B17" s="89"/>
      <c r="C17" s="89"/>
      <c r="D17" s="89"/>
      <c r="E17" s="81" t="s">
        <v>22</v>
      </c>
      <c r="F17" s="82"/>
      <c r="G17" s="82"/>
      <c r="H17" s="82"/>
      <c r="I17" s="82"/>
      <c r="J17" s="83"/>
      <c r="K17" s="28"/>
      <c r="L17" s="28"/>
      <c r="M17" s="28"/>
      <c r="N17" s="28"/>
      <c r="O17" s="28"/>
      <c r="P17" s="28"/>
      <c r="Q17" s="28"/>
    </row>
    <row r="18" spans="1:17" x14ac:dyDescent="0.35">
      <c r="A18" s="87" t="s">
        <v>25</v>
      </c>
      <c r="B18" s="87"/>
      <c r="C18" s="30" t="s">
        <v>7</v>
      </c>
      <c r="D18" s="30" t="s">
        <v>8</v>
      </c>
      <c r="E18" s="84"/>
      <c r="F18" s="85"/>
      <c r="G18" s="85"/>
      <c r="H18" s="85"/>
      <c r="I18" s="85"/>
      <c r="J18" s="86"/>
      <c r="K18" s="28"/>
      <c r="L18" s="28"/>
      <c r="M18" s="28"/>
      <c r="N18" s="28"/>
      <c r="O18" s="28"/>
      <c r="P18" s="28"/>
      <c r="Q18" s="28"/>
    </row>
    <row r="19" spans="1:17" x14ac:dyDescent="0.35">
      <c r="A19" s="77" t="s">
        <v>26</v>
      </c>
      <c r="B19" s="78"/>
      <c r="C19" s="32">
        <v>20</v>
      </c>
      <c r="D19" s="33">
        <f t="shared" ref="D19:D26" si="0">TRUNC($D$15*C19/100,2)</f>
        <v>227.92</v>
      </c>
      <c r="E19" s="69" t="s">
        <v>12</v>
      </c>
      <c r="F19" s="69"/>
      <c r="G19" s="69"/>
      <c r="H19" s="69"/>
      <c r="I19" s="69"/>
      <c r="J19" s="69"/>
      <c r="K19" s="28"/>
      <c r="L19" s="28"/>
      <c r="M19" s="28"/>
      <c r="N19" s="28"/>
      <c r="O19" s="28"/>
      <c r="P19" s="28"/>
      <c r="Q19" s="28"/>
    </row>
    <row r="20" spans="1:17" x14ac:dyDescent="0.35">
      <c r="A20" s="77" t="s">
        <v>27</v>
      </c>
      <c r="B20" s="78"/>
      <c r="C20" s="32">
        <v>8</v>
      </c>
      <c r="D20" s="33">
        <f t="shared" si="0"/>
        <v>91.16</v>
      </c>
      <c r="E20" s="69" t="s">
        <v>13</v>
      </c>
      <c r="F20" s="69"/>
      <c r="G20" s="69"/>
      <c r="H20" s="69"/>
      <c r="I20" s="69"/>
      <c r="J20" s="69"/>
      <c r="K20" s="28"/>
      <c r="L20" s="28"/>
      <c r="M20" s="28"/>
      <c r="N20" s="28"/>
      <c r="O20" s="28"/>
      <c r="P20" s="28"/>
      <c r="Q20" s="28"/>
    </row>
    <row r="21" spans="1:17" x14ac:dyDescent="0.35">
      <c r="A21" s="77" t="s">
        <v>28</v>
      </c>
      <c r="B21" s="78"/>
      <c r="C21" s="32">
        <v>1.5</v>
      </c>
      <c r="D21" s="33">
        <f t="shared" si="0"/>
        <v>17.09</v>
      </c>
      <c r="E21" s="69" t="s">
        <v>14</v>
      </c>
      <c r="F21" s="69"/>
      <c r="G21" s="69"/>
      <c r="H21" s="69"/>
      <c r="I21" s="69"/>
      <c r="J21" s="69"/>
      <c r="K21" s="28"/>
      <c r="L21" s="28"/>
      <c r="M21" s="28"/>
      <c r="N21" s="28"/>
      <c r="O21" s="28"/>
      <c r="P21" s="28"/>
      <c r="Q21" s="28"/>
    </row>
    <row r="22" spans="1:17" ht="25.5" customHeight="1" x14ac:dyDescent="0.35">
      <c r="A22" s="77" t="s">
        <v>29</v>
      </c>
      <c r="B22" s="78"/>
      <c r="C22" s="32">
        <v>1</v>
      </c>
      <c r="D22" s="33">
        <f t="shared" si="0"/>
        <v>11.39</v>
      </c>
      <c r="E22" s="69" t="s">
        <v>15</v>
      </c>
      <c r="F22" s="69"/>
      <c r="G22" s="69"/>
      <c r="H22" s="69"/>
      <c r="I22" s="69"/>
      <c r="J22" s="69"/>
      <c r="K22" s="28"/>
      <c r="L22" s="28"/>
      <c r="M22" s="28"/>
      <c r="N22" s="28"/>
      <c r="O22" s="28"/>
      <c r="P22" s="28"/>
      <c r="Q22" s="28"/>
    </row>
    <row r="23" spans="1:17" ht="28.5" customHeight="1" x14ac:dyDescent="0.35">
      <c r="A23" s="77" t="s">
        <v>30</v>
      </c>
      <c r="B23" s="78"/>
      <c r="C23" s="32">
        <v>0.2</v>
      </c>
      <c r="D23" s="33">
        <f t="shared" si="0"/>
        <v>2.27</v>
      </c>
      <c r="E23" s="69" t="s">
        <v>16</v>
      </c>
      <c r="F23" s="69"/>
      <c r="G23" s="69"/>
      <c r="H23" s="69"/>
      <c r="I23" s="69"/>
      <c r="J23" s="69"/>
      <c r="K23" s="28"/>
      <c r="L23" s="28"/>
      <c r="M23" s="28"/>
      <c r="N23" s="28"/>
      <c r="O23" s="28"/>
      <c r="P23" s="28"/>
      <c r="Q23" s="28"/>
    </row>
    <row r="24" spans="1:17" x14ac:dyDescent="0.35">
      <c r="A24" s="77" t="s">
        <v>31</v>
      </c>
      <c r="B24" s="78"/>
      <c r="C24" s="32">
        <v>0.6</v>
      </c>
      <c r="D24" s="33">
        <f t="shared" si="0"/>
        <v>6.83</v>
      </c>
      <c r="E24" s="69" t="s">
        <v>17</v>
      </c>
      <c r="F24" s="69"/>
      <c r="G24" s="69"/>
      <c r="H24" s="69"/>
      <c r="I24" s="69"/>
      <c r="J24" s="69"/>
      <c r="K24" s="28"/>
      <c r="L24" s="28"/>
      <c r="M24" s="28"/>
      <c r="N24" s="28"/>
      <c r="O24" s="28"/>
      <c r="P24" s="28"/>
      <c r="Q24" s="28"/>
    </row>
    <row r="25" spans="1:17" x14ac:dyDescent="0.35">
      <c r="A25" s="73" t="s">
        <v>32</v>
      </c>
      <c r="B25" s="74"/>
      <c r="C25" s="32">
        <v>2.5</v>
      </c>
      <c r="D25" s="33">
        <f t="shared" si="0"/>
        <v>28.49</v>
      </c>
      <c r="E25" s="69" t="s">
        <v>18</v>
      </c>
      <c r="F25" s="69"/>
      <c r="G25" s="69"/>
      <c r="H25" s="69"/>
      <c r="I25" s="69"/>
      <c r="J25" s="69"/>
      <c r="K25" s="28"/>
      <c r="L25" s="28"/>
      <c r="M25" s="28"/>
      <c r="N25" s="28"/>
      <c r="O25" s="28"/>
      <c r="P25" s="28"/>
      <c r="Q25" s="28"/>
    </row>
    <row r="26" spans="1:17" ht="39.75" customHeight="1" x14ac:dyDescent="0.35">
      <c r="A26" s="73" t="s">
        <v>33</v>
      </c>
      <c r="B26" s="74"/>
      <c r="C26" s="32">
        <v>6</v>
      </c>
      <c r="D26" s="33">
        <f t="shared" si="0"/>
        <v>68.37</v>
      </c>
      <c r="E26" s="69" t="s">
        <v>19</v>
      </c>
      <c r="F26" s="69"/>
      <c r="G26" s="69"/>
      <c r="H26" s="69"/>
      <c r="I26" s="69"/>
      <c r="J26" s="69"/>
      <c r="K26" s="28"/>
      <c r="L26" s="28"/>
      <c r="M26" s="28"/>
      <c r="N26" s="28"/>
      <c r="O26" s="28"/>
      <c r="P26" s="28"/>
      <c r="Q26" s="28"/>
    </row>
    <row r="27" spans="1:17" x14ac:dyDescent="0.35">
      <c r="A27" s="79" t="s">
        <v>34</v>
      </c>
      <c r="B27" s="80"/>
      <c r="C27" s="35">
        <f>SUM(C19:C26)</f>
        <v>39.799999999999997</v>
      </c>
      <c r="D27" s="34">
        <f>SUM(D19:D26)</f>
        <v>453.51999999999992</v>
      </c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</row>
    <row r="28" spans="1:17" x14ac:dyDescent="0.35">
      <c r="A28" s="36"/>
      <c r="B28" s="36"/>
      <c r="C28" s="37"/>
      <c r="D28" s="3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</row>
    <row r="29" spans="1:17" x14ac:dyDescent="0.35">
      <c r="A29" s="87" t="s">
        <v>36</v>
      </c>
      <c r="B29" s="87"/>
      <c r="C29" s="30" t="s">
        <v>7</v>
      </c>
      <c r="D29" s="30" t="s">
        <v>8</v>
      </c>
      <c r="E29" s="89" t="s">
        <v>22</v>
      </c>
      <c r="F29" s="89"/>
      <c r="G29" s="89"/>
      <c r="H29" s="89"/>
      <c r="I29" s="89"/>
      <c r="J29" s="89"/>
      <c r="K29" s="89" t="s">
        <v>52</v>
      </c>
      <c r="L29" s="89"/>
      <c r="M29" s="89"/>
      <c r="N29" s="89"/>
      <c r="O29" s="89"/>
      <c r="P29" s="89"/>
      <c r="Q29" s="89"/>
    </row>
    <row r="30" spans="1:17" ht="35" customHeight="1" x14ac:dyDescent="0.35">
      <c r="A30" s="73" t="s">
        <v>37</v>
      </c>
      <c r="B30" s="74"/>
      <c r="C30" s="32">
        <v>8.3330000000000002</v>
      </c>
      <c r="D30" s="33">
        <f t="shared" ref="D30:D37" si="1">TRUNC($D$15*C30/100,2)</f>
        <v>94.96</v>
      </c>
      <c r="E30" s="69" t="s">
        <v>20</v>
      </c>
      <c r="F30" s="69"/>
      <c r="G30" s="69"/>
      <c r="H30" s="69"/>
      <c r="I30" s="69"/>
      <c r="J30" s="69"/>
      <c r="K30" s="103" t="s">
        <v>190</v>
      </c>
      <c r="L30" s="103"/>
      <c r="M30" s="103"/>
      <c r="N30" s="103"/>
      <c r="O30" s="103"/>
      <c r="P30" s="103"/>
      <c r="Q30" s="103"/>
    </row>
    <row r="31" spans="1:17" ht="35" customHeight="1" x14ac:dyDescent="0.35">
      <c r="A31" s="77" t="s">
        <v>38</v>
      </c>
      <c r="B31" s="78"/>
      <c r="C31" s="32">
        <v>8.3330000000000002</v>
      </c>
      <c r="D31" s="33">
        <f t="shared" si="1"/>
        <v>94.96</v>
      </c>
      <c r="E31" s="70" t="s">
        <v>21</v>
      </c>
      <c r="F31" s="71"/>
      <c r="G31" s="71"/>
      <c r="H31" s="71"/>
      <c r="I31" s="71"/>
      <c r="J31" s="72"/>
      <c r="K31" s="103"/>
      <c r="L31" s="103"/>
      <c r="M31" s="103"/>
      <c r="N31" s="103"/>
      <c r="O31" s="103"/>
      <c r="P31" s="103"/>
      <c r="Q31" s="103"/>
    </row>
    <row r="32" spans="1:17" ht="35" customHeight="1" x14ac:dyDescent="0.35">
      <c r="A32" s="77" t="s">
        <v>39</v>
      </c>
      <c r="B32" s="78"/>
      <c r="C32" s="32">
        <v>1.944</v>
      </c>
      <c r="D32" s="33">
        <f t="shared" si="1"/>
        <v>22.15</v>
      </c>
      <c r="E32" s="70" t="s">
        <v>46</v>
      </c>
      <c r="F32" s="71"/>
      <c r="G32" s="71"/>
      <c r="H32" s="71"/>
      <c r="I32" s="71"/>
      <c r="J32" s="72"/>
      <c r="K32" s="103"/>
      <c r="L32" s="103"/>
      <c r="M32" s="103"/>
      <c r="N32" s="103"/>
      <c r="O32" s="103"/>
      <c r="P32" s="103"/>
      <c r="Q32" s="103"/>
    </row>
    <row r="33" spans="1:17" ht="35" customHeight="1" x14ac:dyDescent="0.35">
      <c r="A33" s="77" t="s">
        <v>40</v>
      </c>
      <c r="B33" s="78"/>
      <c r="C33" s="32">
        <v>0.222</v>
      </c>
      <c r="D33" s="33">
        <f t="shared" si="1"/>
        <v>2.52</v>
      </c>
      <c r="E33" s="70" t="s">
        <v>47</v>
      </c>
      <c r="F33" s="71"/>
      <c r="G33" s="71"/>
      <c r="H33" s="71"/>
      <c r="I33" s="71"/>
      <c r="J33" s="72"/>
      <c r="K33" s="103"/>
      <c r="L33" s="103"/>
      <c r="M33" s="103"/>
      <c r="N33" s="103"/>
      <c r="O33" s="103"/>
      <c r="P33" s="103"/>
      <c r="Q33" s="103"/>
    </row>
    <row r="34" spans="1:17" ht="35" customHeight="1" x14ac:dyDescent="0.35">
      <c r="A34" s="77" t="s">
        <v>41</v>
      </c>
      <c r="B34" s="78"/>
      <c r="C34" s="32">
        <v>5.0999999999999997E-2</v>
      </c>
      <c r="D34" s="33">
        <f t="shared" si="1"/>
        <v>0.57999999999999996</v>
      </c>
      <c r="E34" s="70" t="s">
        <v>48</v>
      </c>
      <c r="F34" s="71"/>
      <c r="G34" s="71"/>
      <c r="H34" s="71"/>
      <c r="I34" s="71"/>
      <c r="J34" s="72"/>
      <c r="K34" s="103"/>
      <c r="L34" s="103"/>
      <c r="M34" s="103"/>
      <c r="N34" s="103"/>
      <c r="O34" s="103"/>
      <c r="P34" s="103"/>
      <c r="Q34" s="103"/>
    </row>
    <row r="35" spans="1:17" ht="35" customHeight="1" x14ac:dyDescent="0.35">
      <c r="A35" s="77" t="s">
        <v>42</v>
      </c>
      <c r="B35" s="78"/>
      <c r="C35" s="32">
        <v>0.41499999999999998</v>
      </c>
      <c r="D35" s="33">
        <f t="shared" si="1"/>
        <v>4.72</v>
      </c>
      <c r="E35" s="70" t="s">
        <v>49</v>
      </c>
      <c r="F35" s="71"/>
      <c r="G35" s="71"/>
      <c r="H35" s="71"/>
      <c r="I35" s="71"/>
      <c r="J35" s="72"/>
      <c r="K35" s="103"/>
      <c r="L35" s="103"/>
      <c r="M35" s="103"/>
      <c r="N35" s="103"/>
      <c r="O35" s="103"/>
      <c r="P35" s="103"/>
      <c r="Q35" s="103"/>
    </row>
    <row r="36" spans="1:17" ht="35" customHeight="1" x14ac:dyDescent="0.35">
      <c r="A36" s="77" t="s">
        <v>43</v>
      </c>
      <c r="B36" s="78"/>
      <c r="C36" s="32">
        <v>3.9E-2</v>
      </c>
      <c r="D36" s="33">
        <f t="shared" si="1"/>
        <v>0.44</v>
      </c>
      <c r="E36" s="70" t="s">
        <v>50</v>
      </c>
      <c r="F36" s="71"/>
      <c r="G36" s="71"/>
      <c r="H36" s="71"/>
      <c r="I36" s="71"/>
      <c r="J36" s="72"/>
      <c r="K36" s="103"/>
      <c r="L36" s="103"/>
      <c r="M36" s="103"/>
      <c r="N36" s="103"/>
      <c r="O36" s="103"/>
      <c r="P36" s="103"/>
      <c r="Q36" s="103"/>
    </row>
    <row r="37" spans="1:17" ht="35" customHeight="1" x14ac:dyDescent="0.35">
      <c r="A37" s="77" t="s">
        <v>44</v>
      </c>
      <c r="B37" s="78"/>
      <c r="C37" s="32">
        <v>0.02</v>
      </c>
      <c r="D37" s="33">
        <f t="shared" si="1"/>
        <v>0.22</v>
      </c>
      <c r="E37" s="70" t="s">
        <v>51</v>
      </c>
      <c r="F37" s="71"/>
      <c r="G37" s="71"/>
      <c r="H37" s="71"/>
      <c r="I37" s="71"/>
      <c r="J37" s="72"/>
      <c r="K37" s="103"/>
      <c r="L37" s="103"/>
      <c r="M37" s="103"/>
      <c r="N37" s="103"/>
      <c r="O37" s="103"/>
      <c r="P37" s="103"/>
      <c r="Q37" s="103"/>
    </row>
    <row r="38" spans="1:17" x14ac:dyDescent="0.35">
      <c r="A38" s="79" t="s">
        <v>45</v>
      </c>
      <c r="B38" s="80"/>
      <c r="C38" s="35">
        <f>SUM(C30:C37)</f>
        <v>19.356999999999999</v>
      </c>
      <c r="D38" s="34">
        <f>SUM(D30:D37)</f>
        <v>220.55</v>
      </c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</row>
    <row r="39" spans="1:17" x14ac:dyDescent="0.35">
      <c r="A39" s="36"/>
      <c r="B39" s="36"/>
      <c r="C39" s="39"/>
      <c r="D39" s="3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</row>
    <row r="40" spans="1:17" x14ac:dyDescent="0.35">
      <c r="A40" s="75" t="s">
        <v>53</v>
      </c>
      <c r="B40" s="76"/>
      <c r="C40" s="30" t="s">
        <v>7</v>
      </c>
      <c r="D40" s="30" t="s">
        <v>8</v>
      </c>
      <c r="E40" s="89" t="s">
        <v>22</v>
      </c>
      <c r="F40" s="89"/>
      <c r="G40" s="89"/>
      <c r="H40" s="89"/>
      <c r="I40" s="89"/>
      <c r="J40" s="89"/>
      <c r="K40" s="89" t="s">
        <v>52</v>
      </c>
      <c r="L40" s="89"/>
      <c r="M40" s="89"/>
      <c r="N40" s="89"/>
      <c r="O40" s="89"/>
      <c r="P40" s="89"/>
      <c r="Q40" s="89"/>
    </row>
    <row r="41" spans="1:17" ht="23.15" customHeight="1" x14ac:dyDescent="0.35">
      <c r="A41" s="77" t="s">
        <v>54</v>
      </c>
      <c r="B41" s="78"/>
      <c r="C41" s="32">
        <v>0.41699999999999998</v>
      </c>
      <c r="D41" s="33">
        <f>TRUNC($D$15*C41/100,2)</f>
        <v>4.75</v>
      </c>
      <c r="E41" s="69" t="s">
        <v>58</v>
      </c>
      <c r="F41" s="69"/>
      <c r="G41" s="69"/>
      <c r="H41" s="69"/>
      <c r="I41" s="69"/>
      <c r="J41" s="69"/>
      <c r="K41" s="103" t="s">
        <v>269</v>
      </c>
      <c r="L41" s="103"/>
      <c r="M41" s="103"/>
      <c r="N41" s="103"/>
      <c r="O41" s="103"/>
      <c r="P41" s="103"/>
      <c r="Q41" s="103"/>
    </row>
    <row r="42" spans="1:17" ht="23.15" customHeight="1" x14ac:dyDescent="0.35">
      <c r="A42" s="77" t="s">
        <v>55</v>
      </c>
      <c r="B42" s="78"/>
      <c r="C42" s="32">
        <v>0.28599999999999998</v>
      </c>
      <c r="D42" s="33">
        <f>TRUNC($D$15*C42/100,2)</f>
        <v>3.25</v>
      </c>
      <c r="E42" s="69" t="s">
        <v>59</v>
      </c>
      <c r="F42" s="69"/>
      <c r="G42" s="69"/>
      <c r="H42" s="69"/>
      <c r="I42" s="69"/>
      <c r="J42" s="69"/>
      <c r="K42" s="103"/>
      <c r="L42" s="103"/>
      <c r="M42" s="103"/>
      <c r="N42" s="103"/>
      <c r="O42" s="103"/>
      <c r="P42" s="103"/>
      <c r="Q42" s="103"/>
    </row>
    <row r="43" spans="1:17" ht="23.15" customHeight="1" x14ac:dyDescent="0.35">
      <c r="A43" s="77" t="s">
        <v>56</v>
      </c>
      <c r="B43" s="78"/>
      <c r="C43" s="32">
        <v>3.2</v>
      </c>
      <c r="D43" s="33">
        <f>TRUNC($D$15*C43/100,2)</f>
        <v>36.46</v>
      </c>
      <c r="E43" s="69" t="s">
        <v>60</v>
      </c>
      <c r="F43" s="69"/>
      <c r="G43" s="69"/>
      <c r="H43" s="69"/>
      <c r="I43" s="69"/>
      <c r="J43" s="69"/>
      <c r="K43" s="103"/>
      <c r="L43" s="103"/>
      <c r="M43" s="103"/>
      <c r="N43" s="103"/>
      <c r="O43" s="103"/>
      <c r="P43" s="103"/>
      <c r="Q43" s="103"/>
    </row>
    <row r="44" spans="1:17" ht="23.15" customHeight="1" x14ac:dyDescent="0.35">
      <c r="A44" s="77" t="s">
        <v>187</v>
      </c>
      <c r="B44" s="78"/>
      <c r="C44" s="32">
        <v>2.778</v>
      </c>
      <c r="D44" s="33">
        <f>TRUNC($D$15*C44/100,2)</f>
        <v>31.65</v>
      </c>
      <c r="E44" s="69" t="s">
        <v>61</v>
      </c>
      <c r="F44" s="69"/>
      <c r="G44" s="69"/>
      <c r="H44" s="69"/>
      <c r="I44" s="69"/>
      <c r="J44" s="69"/>
      <c r="K44" s="103"/>
      <c r="L44" s="103"/>
      <c r="M44" s="103"/>
      <c r="N44" s="103"/>
      <c r="O44" s="103"/>
      <c r="P44" s="103"/>
      <c r="Q44" s="103"/>
    </row>
    <row r="45" spans="1:17" ht="23.15" customHeight="1" x14ac:dyDescent="0.35">
      <c r="A45" s="77" t="s">
        <v>188</v>
      </c>
      <c r="B45" s="78"/>
      <c r="C45" s="32">
        <v>1.2999999999999999E-2</v>
      </c>
      <c r="D45" s="33">
        <f>TRUNC($D$15*C45/100,2)</f>
        <v>0.14000000000000001</v>
      </c>
      <c r="E45" s="69" t="s">
        <v>62</v>
      </c>
      <c r="F45" s="69"/>
      <c r="G45" s="69"/>
      <c r="H45" s="69"/>
      <c r="I45" s="69"/>
      <c r="J45" s="69"/>
      <c r="K45" s="103"/>
      <c r="L45" s="103"/>
      <c r="M45" s="103"/>
      <c r="N45" s="103"/>
      <c r="O45" s="103"/>
      <c r="P45" s="103"/>
      <c r="Q45" s="103"/>
    </row>
    <row r="46" spans="1:17" x14ac:dyDescent="0.35">
      <c r="A46" s="79" t="s">
        <v>57</v>
      </c>
      <c r="B46" s="80"/>
      <c r="C46" s="35">
        <f>SUM(C41:C45)</f>
        <v>6.694</v>
      </c>
      <c r="D46" s="34">
        <f>SUM(D41:D45)</f>
        <v>76.25</v>
      </c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</row>
    <row r="47" spans="1:17" x14ac:dyDescent="0.35">
      <c r="A47" s="36"/>
      <c r="B47" s="36"/>
      <c r="C47" s="39"/>
      <c r="D47" s="3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</row>
    <row r="48" spans="1:17" x14ac:dyDescent="0.35">
      <c r="A48" s="75" t="s">
        <v>63</v>
      </c>
      <c r="B48" s="76"/>
      <c r="C48" s="30" t="s">
        <v>7</v>
      </c>
      <c r="D48" s="30" t="s">
        <v>8</v>
      </c>
      <c r="E48" s="89" t="s">
        <v>22</v>
      </c>
      <c r="F48" s="89"/>
      <c r="G48" s="89"/>
      <c r="H48" s="89"/>
      <c r="I48" s="89"/>
      <c r="J48" s="89"/>
      <c r="K48" s="28"/>
      <c r="L48" s="28"/>
      <c r="M48" s="28"/>
      <c r="N48" s="28"/>
      <c r="O48" s="28"/>
      <c r="P48" s="28"/>
      <c r="Q48" s="28"/>
    </row>
    <row r="49" spans="1:17" x14ac:dyDescent="0.35">
      <c r="A49" s="77" t="s">
        <v>64</v>
      </c>
      <c r="B49" s="78"/>
      <c r="C49" s="32">
        <f>ROUND((C27/100)*(C38/100)*100,3)</f>
        <v>7.7039999999999997</v>
      </c>
      <c r="D49" s="33">
        <f>TRUNC($D$15*C49/100,2)</f>
        <v>87.79</v>
      </c>
      <c r="E49" s="69" t="s">
        <v>267</v>
      </c>
      <c r="F49" s="69"/>
      <c r="G49" s="69"/>
      <c r="H49" s="69"/>
      <c r="I49" s="69"/>
      <c r="J49" s="69"/>
      <c r="K49" s="28"/>
      <c r="L49" s="28"/>
      <c r="M49" s="28"/>
      <c r="N49" s="28"/>
      <c r="O49" s="28"/>
      <c r="P49" s="28"/>
      <c r="Q49" s="28"/>
    </row>
    <row r="50" spans="1:17" x14ac:dyDescent="0.35">
      <c r="A50" s="79" t="s">
        <v>65</v>
      </c>
      <c r="B50" s="80"/>
      <c r="C50" s="35">
        <f>SUM(C49)</f>
        <v>7.7039999999999997</v>
      </c>
      <c r="D50" s="34">
        <f>SUM(D49)</f>
        <v>87.79</v>
      </c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</row>
    <row r="51" spans="1:17" x14ac:dyDescent="0.35">
      <c r="A51" s="36"/>
      <c r="B51" s="36"/>
      <c r="C51" s="39"/>
      <c r="D51" s="3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</row>
    <row r="52" spans="1:17" x14ac:dyDescent="0.35">
      <c r="A52" s="75" t="s">
        <v>66</v>
      </c>
      <c r="B52" s="76"/>
      <c r="C52" s="30" t="s">
        <v>7</v>
      </c>
      <c r="D52" s="30" t="s">
        <v>8</v>
      </c>
      <c r="E52" s="89" t="s">
        <v>22</v>
      </c>
      <c r="F52" s="89"/>
      <c r="G52" s="89"/>
      <c r="H52" s="89"/>
      <c r="I52" s="89"/>
      <c r="J52" s="89"/>
      <c r="K52" s="89" t="s">
        <v>52</v>
      </c>
      <c r="L52" s="89"/>
      <c r="M52" s="89"/>
      <c r="N52" s="89"/>
      <c r="O52" s="89"/>
      <c r="P52" s="89"/>
      <c r="Q52" s="89"/>
    </row>
    <row r="53" spans="1:17" ht="28.5" customHeight="1" x14ac:dyDescent="0.35">
      <c r="A53" s="77" t="s">
        <v>67</v>
      </c>
      <c r="B53" s="78"/>
      <c r="C53" s="32">
        <v>3.3000000000000002E-2</v>
      </c>
      <c r="D53" s="33">
        <f>TRUNC($D$15*C53/100,2)</f>
        <v>0.37</v>
      </c>
      <c r="E53" s="69" t="s">
        <v>71</v>
      </c>
      <c r="F53" s="69"/>
      <c r="G53" s="69"/>
      <c r="H53" s="69"/>
      <c r="I53" s="69"/>
      <c r="J53" s="69"/>
      <c r="K53" s="103" t="s">
        <v>72</v>
      </c>
      <c r="L53" s="103"/>
      <c r="M53" s="103"/>
      <c r="N53" s="103"/>
      <c r="O53" s="103"/>
      <c r="P53" s="103"/>
      <c r="Q53" s="103"/>
    </row>
    <row r="54" spans="1:17" ht="38.5" customHeight="1" x14ac:dyDescent="0.35">
      <c r="A54" s="77" t="s">
        <v>68</v>
      </c>
      <c r="B54" s="78"/>
      <c r="C54" s="32">
        <v>4.0000000000000001E-3</v>
      </c>
      <c r="D54" s="33">
        <f>TRUNC($D$15*C54/100,2)</f>
        <v>0.04</v>
      </c>
      <c r="E54" s="69" t="s">
        <v>199</v>
      </c>
      <c r="F54" s="69"/>
      <c r="G54" s="69"/>
      <c r="H54" s="69"/>
      <c r="I54" s="69"/>
      <c r="J54" s="69"/>
      <c r="K54" s="103"/>
      <c r="L54" s="103"/>
      <c r="M54" s="103"/>
      <c r="N54" s="103"/>
      <c r="O54" s="103"/>
      <c r="P54" s="103"/>
      <c r="Q54" s="103"/>
    </row>
    <row r="55" spans="1:17" ht="30.75" customHeight="1" x14ac:dyDescent="0.35">
      <c r="A55" s="77" t="s">
        <v>69</v>
      </c>
      <c r="B55" s="78"/>
      <c r="C55" s="32">
        <v>0.222</v>
      </c>
      <c r="D55" s="33">
        <f>TRUNC($D$15*C55/100,2)</f>
        <v>2.52</v>
      </c>
      <c r="E55" s="69" t="s">
        <v>198</v>
      </c>
      <c r="F55" s="69"/>
      <c r="G55" s="69"/>
      <c r="H55" s="69"/>
      <c r="I55" s="69"/>
      <c r="J55" s="69"/>
      <c r="K55" s="103"/>
      <c r="L55" s="103"/>
      <c r="M55" s="103"/>
      <c r="N55" s="103"/>
      <c r="O55" s="103"/>
      <c r="P55" s="103"/>
      <c r="Q55" s="103"/>
    </row>
    <row r="56" spans="1:17" x14ac:dyDescent="0.35">
      <c r="A56" s="79" t="s">
        <v>70</v>
      </c>
      <c r="B56" s="80"/>
      <c r="C56" s="35">
        <f>SUM(C53:C55)</f>
        <v>0.25900000000000001</v>
      </c>
      <c r="D56" s="34">
        <f>SUM(D53:D55)</f>
        <v>2.93</v>
      </c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</row>
    <row r="57" spans="1:17" x14ac:dyDescent="0.35">
      <c r="A57" s="36"/>
      <c r="B57" s="36"/>
      <c r="C57" s="39"/>
      <c r="D57" s="3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</row>
    <row r="58" spans="1:17" x14ac:dyDescent="0.35">
      <c r="A58" s="75" t="s">
        <v>73</v>
      </c>
      <c r="B58" s="76"/>
      <c r="C58" s="30" t="s">
        <v>7</v>
      </c>
      <c r="D58" s="30" t="s">
        <v>8</v>
      </c>
      <c r="E58" s="89" t="s">
        <v>22</v>
      </c>
      <c r="F58" s="89"/>
      <c r="G58" s="89"/>
      <c r="H58" s="89"/>
      <c r="I58" s="89"/>
      <c r="J58" s="89"/>
      <c r="K58" s="28"/>
      <c r="L58" s="28"/>
      <c r="M58" s="28"/>
      <c r="N58" s="28"/>
      <c r="O58" s="28"/>
      <c r="P58" s="28"/>
      <c r="Q58" s="28"/>
    </row>
    <row r="59" spans="1:17" ht="84.75" customHeight="1" x14ac:dyDescent="0.35">
      <c r="A59" s="77" t="s">
        <v>74</v>
      </c>
      <c r="B59" s="78"/>
      <c r="C59" s="32">
        <f>ROUND((C27/100)*(4/12)*(2/100)*100,3)</f>
        <v>0.26500000000000001</v>
      </c>
      <c r="D59" s="33">
        <f>TRUNC($D$15*C59/100,2)</f>
        <v>3.01</v>
      </c>
      <c r="E59" s="120" t="s">
        <v>268</v>
      </c>
      <c r="F59" s="120"/>
      <c r="G59" s="120"/>
      <c r="H59" s="120"/>
      <c r="I59" s="120"/>
      <c r="J59" s="120"/>
      <c r="K59" s="28"/>
      <c r="L59" s="28"/>
      <c r="M59" s="28"/>
      <c r="N59" s="28"/>
      <c r="O59" s="28"/>
      <c r="P59" s="28"/>
      <c r="Q59" s="28"/>
    </row>
    <row r="60" spans="1:17" x14ac:dyDescent="0.35">
      <c r="A60" s="79" t="s">
        <v>75</v>
      </c>
      <c r="B60" s="80"/>
      <c r="C60" s="35">
        <f>SUM(C59)</f>
        <v>0.26500000000000001</v>
      </c>
      <c r="D60" s="34">
        <f>SUM(D59)</f>
        <v>3.01</v>
      </c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</row>
    <row r="61" spans="1:17" x14ac:dyDescent="0.35">
      <c r="A61" s="79" t="s">
        <v>76</v>
      </c>
      <c r="B61" s="80"/>
      <c r="C61" s="35">
        <f>C27+C38+C46+C50+C56+C60</f>
        <v>74.078999999999994</v>
      </c>
      <c r="D61" s="34">
        <f>D27+D38+D46+D50+D56+D60</f>
        <v>844.04999999999984</v>
      </c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</row>
    <row r="62" spans="1:17" ht="15" customHeight="1" x14ac:dyDescent="0.35">
      <c r="A62" s="36"/>
      <c r="B62" s="36"/>
      <c r="C62" s="39"/>
      <c r="D62" s="3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</row>
    <row r="63" spans="1:17" ht="15" customHeight="1" x14ac:dyDescent="0.35">
      <c r="A63" s="79" t="s">
        <v>77</v>
      </c>
      <c r="B63" s="104"/>
      <c r="C63" s="80"/>
      <c r="D63" s="34">
        <f>D15+D61</f>
        <v>1983.6499999999996</v>
      </c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</row>
    <row r="64" spans="1:17" ht="15" customHeight="1" x14ac:dyDescent="0.35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</row>
    <row r="65" spans="1:17" ht="15" customHeight="1" x14ac:dyDescent="0.35">
      <c r="A65" s="89" t="s">
        <v>78</v>
      </c>
      <c r="B65" s="89"/>
      <c r="C65" s="89"/>
      <c r="D65" s="89"/>
      <c r="E65" s="89" t="s">
        <v>22</v>
      </c>
      <c r="F65" s="89"/>
      <c r="G65" s="89"/>
      <c r="H65" s="89"/>
      <c r="I65" s="89"/>
      <c r="J65" s="89"/>
      <c r="K65" s="89" t="s">
        <v>52</v>
      </c>
      <c r="L65" s="89"/>
      <c r="M65" s="89"/>
      <c r="N65" s="89"/>
      <c r="O65" s="89"/>
      <c r="P65" s="89"/>
      <c r="Q65" s="89"/>
    </row>
    <row r="66" spans="1:17" x14ac:dyDescent="0.35">
      <c r="A66" s="101" t="s">
        <v>79</v>
      </c>
      <c r="B66" s="112"/>
      <c r="C66" s="102"/>
      <c r="D66" s="40" t="s">
        <v>8</v>
      </c>
      <c r="E66" s="89"/>
      <c r="F66" s="89"/>
      <c r="G66" s="89"/>
      <c r="H66" s="89"/>
      <c r="I66" s="89"/>
      <c r="J66" s="89"/>
      <c r="K66" s="89"/>
      <c r="L66" s="89"/>
      <c r="M66" s="89"/>
      <c r="N66" s="89"/>
      <c r="O66" s="89"/>
      <c r="P66" s="89"/>
      <c r="Q66" s="89"/>
    </row>
    <row r="67" spans="1:17" ht="143.25" customHeight="1" x14ac:dyDescent="0.35">
      <c r="A67" s="73" t="s">
        <v>109</v>
      </c>
      <c r="B67" s="116"/>
      <c r="C67" s="74"/>
      <c r="D67" s="31">
        <f>19*22</f>
        <v>418</v>
      </c>
      <c r="E67" s="120" t="s">
        <v>231</v>
      </c>
      <c r="F67" s="120"/>
      <c r="G67" s="120"/>
      <c r="H67" s="120"/>
      <c r="I67" s="120"/>
      <c r="J67" s="120"/>
      <c r="K67" s="127"/>
      <c r="L67" s="127"/>
      <c r="M67" s="127"/>
      <c r="N67" s="127"/>
      <c r="O67" s="127"/>
      <c r="P67" s="127"/>
      <c r="Q67" s="127"/>
    </row>
    <row r="68" spans="1:17" ht="68.25" customHeight="1" x14ac:dyDescent="0.35">
      <c r="A68" s="117" t="s">
        <v>124</v>
      </c>
      <c r="B68" s="118"/>
      <c r="C68" s="119"/>
      <c r="D68" s="41">
        <f>(D67*5%)*-1</f>
        <v>-20.900000000000002</v>
      </c>
      <c r="E68" s="120" t="s">
        <v>232</v>
      </c>
      <c r="F68" s="120"/>
      <c r="G68" s="120"/>
      <c r="H68" s="120"/>
      <c r="I68" s="120"/>
      <c r="J68" s="120"/>
      <c r="K68" s="127"/>
      <c r="L68" s="127"/>
      <c r="M68" s="127"/>
      <c r="N68" s="127"/>
      <c r="O68" s="127"/>
      <c r="P68" s="127"/>
      <c r="Q68" s="127"/>
    </row>
    <row r="69" spans="1:17" ht="42.75" customHeight="1" x14ac:dyDescent="0.35">
      <c r="A69" s="73" t="s">
        <v>177</v>
      </c>
      <c r="B69" s="116"/>
      <c r="C69" s="74"/>
      <c r="D69" s="47">
        <v>100</v>
      </c>
      <c r="E69" s="120" t="s">
        <v>233</v>
      </c>
      <c r="F69" s="120"/>
      <c r="G69" s="120"/>
      <c r="H69" s="120"/>
      <c r="I69" s="120"/>
      <c r="J69" s="120"/>
      <c r="K69" s="127"/>
      <c r="L69" s="127"/>
      <c r="M69" s="127"/>
      <c r="N69" s="127"/>
      <c r="O69" s="127"/>
      <c r="P69" s="127"/>
      <c r="Q69" s="127"/>
    </row>
    <row r="70" spans="1:17" ht="48" customHeight="1" x14ac:dyDescent="0.35">
      <c r="A70" s="73" t="s">
        <v>81</v>
      </c>
      <c r="B70" s="116"/>
      <c r="C70" s="74"/>
      <c r="D70" s="33">
        <f>3.8*2*22</f>
        <v>167.2</v>
      </c>
      <c r="E70" s="130" t="s">
        <v>201</v>
      </c>
      <c r="F70" s="131"/>
      <c r="G70" s="131"/>
      <c r="H70" s="131"/>
      <c r="I70" s="131"/>
      <c r="J70" s="132"/>
      <c r="K70" s="127"/>
      <c r="L70" s="127"/>
      <c r="M70" s="127"/>
      <c r="N70" s="127"/>
      <c r="O70" s="127"/>
      <c r="P70" s="127"/>
      <c r="Q70" s="127"/>
    </row>
    <row r="71" spans="1:17" ht="62.25" customHeight="1" x14ac:dyDescent="0.35">
      <c r="A71" s="121" t="s">
        <v>82</v>
      </c>
      <c r="B71" s="122"/>
      <c r="C71" s="123"/>
      <c r="D71" s="42">
        <f>(($D$13*6%)*-1)</f>
        <v>-68.375999999999991</v>
      </c>
      <c r="E71" s="120" t="s">
        <v>234</v>
      </c>
      <c r="F71" s="120"/>
      <c r="G71" s="120"/>
      <c r="H71" s="120"/>
      <c r="I71" s="120"/>
      <c r="J71" s="120"/>
      <c r="K71" s="127"/>
      <c r="L71" s="127"/>
      <c r="M71" s="127"/>
      <c r="N71" s="127"/>
      <c r="O71" s="127"/>
      <c r="P71" s="127"/>
      <c r="Q71" s="127"/>
    </row>
    <row r="72" spans="1:17" ht="25.5" customHeight="1" x14ac:dyDescent="0.35">
      <c r="A72" s="113" t="s">
        <v>80</v>
      </c>
      <c r="B72" s="114"/>
      <c r="C72" s="115"/>
      <c r="D72" s="31">
        <f>'Uniforme Agente de Portaria'!H30:H30</f>
        <v>33.751666666666665</v>
      </c>
      <c r="E72" s="120" t="s">
        <v>178</v>
      </c>
      <c r="F72" s="120"/>
      <c r="G72" s="120"/>
      <c r="H72" s="120"/>
      <c r="I72" s="120"/>
      <c r="J72" s="120"/>
      <c r="K72" s="127"/>
      <c r="L72" s="127"/>
      <c r="M72" s="127"/>
      <c r="N72" s="127"/>
      <c r="O72" s="127"/>
      <c r="P72" s="127"/>
      <c r="Q72" s="127"/>
    </row>
    <row r="73" spans="1:17" ht="25.5" customHeight="1" x14ac:dyDescent="0.35">
      <c r="A73" s="113" t="s">
        <v>182</v>
      </c>
      <c r="B73" s="114"/>
      <c r="C73" s="115"/>
      <c r="D73" s="31">
        <f>'Manut. Depre. Agente Portaria'!J11:J11</f>
        <v>4.0376677333333326</v>
      </c>
      <c r="E73" s="120" t="s">
        <v>184</v>
      </c>
      <c r="F73" s="120"/>
      <c r="G73" s="120"/>
      <c r="H73" s="120"/>
      <c r="I73" s="120"/>
      <c r="J73" s="120"/>
      <c r="K73" s="127"/>
      <c r="L73" s="127"/>
      <c r="M73" s="127"/>
      <c r="N73" s="127"/>
      <c r="O73" s="127"/>
      <c r="P73" s="127"/>
      <c r="Q73" s="127"/>
    </row>
    <row r="74" spans="1:17" ht="15" customHeight="1" x14ac:dyDescent="0.35">
      <c r="A74" s="88" t="s">
        <v>83</v>
      </c>
      <c r="B74" s="88"/>
      <c r="C74" s="88"/>
      <c r="D74" s="34">
        <f>SUM(D67:D73)</f>
        <v>633.71333440000001</v>
      </c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</row>
    <row r="75" spans="1:17" x14ac:dyDescent="0.35">
      <c r="A75" s="36"/>
      <c r="B75" s="36"/>
      <c r="C75" s="36"/>
      <c r="D75" s="3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</row>
    <row r="76" spans="1:17" ht="30" customHeight="1" x14ac:dyDescent="0.35">
      <c r="A76" s="79" t="s">
        <v>85</v>
      </c>
      <c r="B76" s="104"/>
      <c r="C76" s="80"/>
      <c r="D76" s="34">
        <f>D63+D74</f>
        <v>2617.3633343999995</v>
      </c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</row>
    <row r="77" spans="1:17" x14ac:dyDescent="0.35">
      <c r="A77" s="36"/>
      <c r="B77" s="36"/>
      <c r="C77" s="36"/>
      <c r="D77" s="3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</row>
    <row r="78" spans="1:17" x14ac:dyDescent="0.35">
      <c r="A78" s="89" t="s">
        <v>202</v>
      </c>
      <c r="B78" s="89"/>
      <c r="C78" s="89"/>
      <c r="D78" s="89"/>
      <c r="E78" s="89" t="s">
        <v>22</v>
      </c>
      <c r="F78" s="89"/>
      <c r="G78" s="89"/>
      <c r="H78" s="89"/>
      <c r="I78" s="89"/>
      <c r="J78" s="89"/>
      <c r="K78" s="89" t="s">
        <v>52</v>
      </c>
      <c r="L78" s="89"/>
      <c r="M78" s="89"/>
      <c r="N78" s="89"/>
      <c r="O78" s="89"/>
      <c r="P78" s="89"/>
      <c r="Q78" s="89"/>
    </row>
    <row r="79" spans="1:17" x14ac:dyDescent="0.35">
      <c r="A79" s="75" t="s">
        <v>86</v>
      </c>
      <c r="B79" s="76"/>
      <c r="C79" s="30" t="s">
        <v>7</v>
      </c>
      <c r="D79" s="30" t="s">
        <v>8</v>
      </c>
      <c r="E79" s="89"/>
      <c r="F79" s="89"/>
      <c r="G79" s="89"/>
      <c r="H79" s="89"/>
      <c r="I79" s="89"/>
      <c r="J79" s="89"/>
      <c r="K79" s="89"/>
      <c r="L79" s="89"/>
      <c r="M79" s="89"/>
      <c r="N79" s="89"/>
      <c r="O79" s="89"/>
      <c r="P79" s="89"/>
      <c r="Q79" s="89"/>
    </row>
    <row r="80" spans="1:17" s="1" customFormat="1" ht="30" customHeight="1" x14ac:dyDescent="0.3">
      <c r="A80" s="77" t="s">
        <v>87</v>
      </c>
      <c r="B80" s="78"/>
      <c r="C80" s="33">
        <v>5</v>
      </c>
      <c r="D80" s="44">
        <f>$D$76*C80%</f>
        <v>130.86816671999998</v>
      </c>
      <c r="E80" s="105" t="s">
        <v>247</v>
      </c>
      <c r="F80" s="106"/>
      <c r="G80" s="106"/>
      <c r="H80" s="106"/>
      <c r="I80" s="106"/>
      <c r="J80" s="107"/>
      <c r="K80" s="127"/>
      <c r="L80" s="127"/>
      <c r="M80" s="127"/>
      <c r="N80" s="127"/>
      <c r="O80" s="127"/>
      <c r="P80" s="127"/>
      <c r="Q80" s="127"/>
    </row>
    <row r="81" spans="1:17" s="1" customFormat="1" ht="30" customHeight="1" x14ac:dyDescent="0.3">
      <c r="A81" s="77" t="s">
        <v>11</v>
      </c>
      <c r="B81" s="78"/>
      <c r="C81" s="33">
        <v>10</v>
      </c>
      <c r="D81" s="44">
        <f>(D76+D80)*C81%</f>
        <v>274.82315011199995</v>
      </c>
      <c r="E81" s="108"/>
      <c r="F81" s="109"/>
      <c r="G81" s="109"/>
      <c r="H81" s="109"/>
      <c r="I81" s="109"/>
      <c r="J81" s="110"/>
      <c r="K81" s="127"/>
      <c r="L81" s="127"/>
      <c r="M81" s="127"/>
      <c r="N81" s="127"/>
      <c r="O81" s="127"/>
      <c r="P81" s="127"/>
      <c r="Q81" s="127"/>
    </row>
    <row r="82" spans="1:17" x14ac:dyDescent="0.35">
      <c r="A82" s="79" t="s">
        <v>88</v>
      </c>
      <c r="B82" s="80"/>
      <c r="C82" s="45">
        <f>SUM(C80:C81)</f>
        <v>15</v>
      </c>
      <c r="D82" s="34">
        <f>SUM(D80:D81)</f>
        <v>405.69131683199993</v>
      </c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</row>
    <row r="83" spans="1:17" x14ac:dyDescent="0.35">
      <c r="A83" s="36"/>
      <c r="B83" s="36"/>
      <c r="C83" s="37"/>
      <c r="D83" s="3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</row>
    <row r="84" spans="1:17" ht="30" customHeight="1" x14ac:dyDescent="0.35">
      <c r="A84" s="79" t="s">
        <v>203</v>
      </c>
      <c r="B84" s="104"/>
      <c r="C84" s="80"/>
      <c r="D84" s="34">
        <f>D76+D82</f>
        <v>3023.0546512319993</v>
      </c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</row>
    <row r="85" spans="1:17" x14ac:dyDescent="0.35">
      <c r="A85" s="36"/>
      <c r="B85" s="36"/>
      <c r="C85" s="36"/>
      <c r="D85" s="3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</row>
    <row r="86" spans="1:17" ht="35.25" customHeight="1" x14ac:dyDescent="0.35">
      <c r="A86" s="126" t="s">
        <v>111</v>
      </c>
      <c r="B86" s="126"/>
      <c r="C86" s="46">
        <f>(-1+(SUM(C89:C91)/100))*(-1)</f>
        <v>0.91349999999999998</v>
      </c>
      <c r="D86" s="34">
        <f>D84/C86</f>
        <v>3309.3099630344823</v>
      </c>
      <c r="E86" s="127"/>
      <c r="F86" s="127"/>
      <c r="G86" s="127"/>
      <c r="H86" s="127"/>
      <c r="I86" s="127"/>
      <c r="J86" s="28"/>
      <c r="K86" s="28"/>
      <c r="L86" s="28"/>
      <c r="M86" s="28"/>
      <c r="N86" s="28"/>
      <c r="O86" s="28"/>
      <c r="P86" s="28"/>
      <c r="Q86" s="28"/>
    </row>
    <row r="87" spans="1:17" x14ac:dyDescent="0.35">
      <c r="A87" s="28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</row>
    <row r="88" spans="1:17" x14ac:dyDescent="0.35">
      <c r="A88" s="75" t="s">
        <v>89</v>
      </c>
      <c r="B88" s="76"/>
      <c r="C88" s="30" t="s">
        <v>7</v>
      </c>
      <c r="D88" s="30" t="s">
        <v>8</v>
      </c>
      <c r="E88" s="89" t="s">
        <v>22</v>
      </c>
      <c r="F88" s="89"/>
      <c r="G88" s="89"/>
      <c r="H88" s="89"/>
      <c r="I88" s="89"/>
      <c r="J88" s="89"/>
      <c r="K88" s="89" t="s">
        <v>52</v>
      </c>
      <c r="L88" s="89"/>
      <c r="M88" s="89"/>
      <c r="N88" s="89"/>
      <c r="O88" s="89"/>
      <c r="P88" s="89"/>
      <c r="Q88" s="89"/>
    </row>
    <row r="89" spans="1:17" ht="22" customHeight="1" x14ac:dyDescent="0.35">
      <c r="A89" s="77" t="s">
        <v>90</v>
      </c>
      <c r="B89" s="78"/>
      <c r="C89" s="33">
        <v>5</v>
      </c>
      <c r="D89" s="33">
        <f>$D$86*C89%</f>
        <v>165.46549815172412</v>
      </c>
      <c r="E89" s="120" t="s">
        <v>95</v>
      </c>
      <c r="F89" s="120"/>
      <c r="G89" s="120"/>
      <c r="H89" s="120"/>
      <c r="I89" s="120"/>
      <c r="J89" s="120"/>
      <c r="K89" s="103"/>
      <c r="L89" s="103"/>
      <c r="M89" s="103"/>
      <c r="N89" s="103"/>
      <c r="O89" s="103"/>
      <c r="P89" s="103"/>
      <c r="Q89" s="103"/>
    </row>
    <row r="90" spans="1:17" ht="22" customHeight="1" x14ac:dyDescent="0.35">
      <c r="A90" s="77" t="s">
        <v>91</v>
      </c>
      <c r="B90" s="78"/>
      <c r="C90" s="33">
        <v>3</v>
      </c>
      <c r="D90" s="33">
        <f>$D$86*C90%</f>
        <v>99.279298891034472</v>
      </c>
      <c r="E90" s="120"/>
      <c r="F90" s="120"/>
      <c r="G90" s="120"/>
      <c r="H90" s="120"/>
      <c r="I90" s="120"/>
      <c r="J90" s="120"/>
      <c r="K90" s="103"/>
      <c r="L90" s="103"/>
      <c r="M90" s="103"/>
      <c r="N90" s="103"/>
      <c r="O90" s="103"/>
      <c r="P90" s="103"/>
      <c r="Q90" s="103"/>
    </row>
    <row r="91" spans="1:17" ht="22" customHeight="1" x14ac:dyDescent="0.35">
      <c r="A91" s="77" t="s">
        <v>92</v>
      </c>
      <c r="B91" s="78"/>
      <c r="C91" s="2">
        <v>0.65</v>
      </c>
      <c r="D91" s="33">
        <f>$D$86*C91%</f>
        <v>21.510514759724138</v>
      </c>
      <c r="E91" s="120"/>
      <c r="F91" s="120"/>
      <c r="G91" s="120"/>
      <c r="H91" s="120"/>
      <c r="I91" s="120"/>
      <c r="J91" s="120"/>
      <c r="K91" s="103"/>
      <c r="L91" s="103"/>
      <c r="M91" s="103"/>
      <c r="N91" s="103"/>
      <c r="O91" s="103"/>
      <c r="P91" s="103"/>
      <c r="Q91" s="103"/>
    </row>
    <row r="92" spans="1:17" x14ac:dyDescent="0.35">
      <c r="A92" s="79" t="s">
        <v>93</v>
      </c>
      <c r="B92" s="80"/>
      <c r="C92" s="45">
        <f>SUM(C89:C91)</f>
        <v>8.65</v>
      </c>
      <c r="D92" s="34">
        <f>SUM(D89:D91)</f>
        <v>286.25531180248271</v>
      </c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</row>
    <row r="93" spans="1:17" x14ac:dyDescent="0.35">
      <c r="A93" s="28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</row>
    <row r="94" spans="1:17" ht="25" customHeight="1" x14ac:dyDescent="0.35">
      <c r="A94" s="79" t="s">
        <v>94</v>
      </c>
      <c r="B94" s="104"/>
      <c r="C94" s="80"/>
      <c r="D94" s="34">
        <f>D84+D92</f>
        <v>3309.3099630344818</v>
      </c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</row>
    <row r="95" spans="1:17" ht="25" customHeight="1" x14ac:dyDescent="0.35">
      <c r="A95" s="79" t="s">
        <v>156</v>
      </c>
      <c r="B95" s="104"/>
      <c r="C95" s="80"/>
      <c r="D95" s="34">
        <f>D94*12</f>
        <v>39711.71955641378</v>
      </c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</row>
  </sheetData>
  <mergeCells count="142">
    <mergeCell ref="K88:Q88"/>
    <mergeCell ref="K89:Q91"/>
    <mergeCell ref="K78:Q79"/>
    <mergeCell ref="K80:Q81"/>
    <mergeCell ref="K65:Q66"/>
    <mergeCell ref="K67:Q73"/>
    <mergeCell ref="K11:Q12"/>
    <mergeCell ref="K13:Q14"/>
    <mergeCell ref="B5:E5"/>
    <mergeCell ref="B6:E6"/>
    <mergeCell ref="A72:C72"/>
    <mergeCell ref="E72:J72"/>
    <mergeCell ref="A68:C68"/>
    <mergeCell ref="E68:J68"/>
    <mergeCell ref="A70:C70"/>
    <mergeCell ref="E70:J70"/>
    <mergeCell ref="A71:C71"/>
    <mergeCell ref="E71:J71"/>
    <mergeCell ref="E69:J69"/>
    <mergeCell ref="A61:B61"/>
    <mergeCell ref="A63:C63"/>
    <mergeCell ref="A65:D65"/>
    <mergeCell ref="E65:J66"/>
    <mergeCell ref="A66:C66"/>
    <mergeCell ref="A92:B92"/>
    <mergeCell ref="A94:C94"/>
    <mergeCell ref="A95:C95"/>
    <mergeCell ref="A69:C69"/>
    <mergeCell ref="A88:B88"/>
    <mergeCell ref="E88:J88"/>
    <mergeCell ref="A89:B89"/>
    <mergeCell ref="E89:J91"/>
    <mergeCell ref="A90:B90"/>
    <mergeCell ref="A91:B91"/>
    <mergeCell ref="A80:B80"/>
    <mergeCell ref="E80:J81"/>
    <mergeCell ref="A81:B81"/>
    <mergeCell ref="A82:B82"/>
    <mergeCell ref="A84:C84"/>
    <mergeCell ref="A86:B86"/>
    <mergeCell ref="E86:I86"/>
    <mergeCell ref="A76:C76"/>
    <mergeCell ref="A78:D78"/>
    <mergeCell ref="E78:J79"/>
    <mergeCell ref="A79:B79"/>
    <mergeCell ref="A73:C73"/>
    <mergeCell ref="E73:J73"/>
    <mergeCell ref="A74:C74"/>
    <mergeCell ref="A67:C67"/>
    <mergeCell ref="E67:J67"/>
    <mergeCell ref="A56:B56"/>
    <mergeCell ref="A58:B58"/>
    <mergeCell ref="E58:J58"/>
    <mergeCell ref="A59:B59"/>
    <mergeCell ref="E59:J59"/>
    <mergeCell ref="A60:B60"/>
    <mergeCell ref="A53:B53"/>
    <mergeCell ref="E53:J53"/>
    <mergeCell ref="K53:Q55"/>
    <mergeCell ref="A54:B54"/>
    <mergeCell ref="E54:J54"/>
    <mergeCell ref="A55:B55"/>
    <mergeCell ref="E55:J55"/>
    <mergeCell ref="A49:B49"/>
    <mergeCell ref="E49:J49"/>
    <mergeCell ref="A50:B50"/>
    <mergeCell ref="A52:B52"/>
    <mergeCell ref="E52:J52"/>
    <mergeCell ref="K52:Q52"/>
    <mergeCell ref="E44:J44"/>
    <mergeCell ref="A45:B45"/>
    <mergeCell ref="E45:J45"/>
    <mergeCell ref="A46:B46"/>
    <mergeCell ref="A48:B48"/>
    <mergeCell ref="E48:J48"/>
    <mergeCell ref="A41:B41"/>
    <mergeCell ref="E41:J41"/>
    <mergeCell ref="K41:Q45"/>
    <mergeCell ref="A42:B42"/>
    <mergeCell ref="E42:J42"/>
    <mergeCell ref="A43:B43"/>
    <mergeCell ref="E43:J43"/>
    <mergeCell ref="A44:B44"/>
    <mergeCell ref="A38:B38"/>
    <mergeCell ref="A40:B40"/>
    <mergeCell ref="E40:J40"/>
    <mergeCell ref="K40:Q40"/>
    <mergeCell ref="A34:B34"/>
    <mergeCell ref="E34:J34"/>
    <mergeCell ref="A35:B35"/>
    <mergeCell ref="E35:J35"/>
    <mergeCell ref="A36:B36"/>
    <mergeCell ref="E36:J36"/>
    <mergeCell ref="A30:B30"/>
    <mergeCell ref="E30:J30"/>
    <mergeCell ref="K30:Q37"/>
    <mergeCell ref="A31:B31"/>
    <mergeCell ref="E31:J31"/>
    <mergeCell ref="A32:B32"/>
    <mergeCell ref="E32:J32"/>
    <mergeCell ref="A33:B33"/>
    <mergeCell ref="E33:J33"/>
    <mergeCell ref="A37:B37"/>
    <mergeCell ref="E37:J37"/>
    <mergeCell ref="A29:B29"/>
    <mergeCell ref="E29:J29"/>
    <mergeCell ref="A22:B22"/>
    <mergeCell ref="E22:J22"/>
    <mergeCell ref="A23:B23"/>
    <mergeCell ref="E23:J23"/>
    <mergeCell ref="A24:B24"/>
    <mergeCell ref="E24:J24"/>
    <mergeCell ref="K29:Q29"/>
    <mergeCell ref="A25:B25"/>
    <mergeCell ref="E25:J25"/>
    <mergeCell ref="A26:B26"/>
    <mergeCell ref="E26:J26"/>
    <mergeCell ref="A27:B27"/>
    <mergeCell ref="A1:Q1"/>
    <mergeCell ref="B2:E2"/>
    <mergeCell ref="B3:E3"/>
    <mergeCell ref="A20:B20"/>
    <mergeCell ref="E20:J20"/>
    <mergeCell ref="A21:B21"/>
    <mergeCell ref="E21:J21"/>
    <mergeCell ref="G2:Q2"/>
    <mergeCell ref="G3:Q8"/>
    <mergeCell ref="A10:Q10"/>
    <mergeCell ref="A11:D11"/>
    <mergeCell ref="E11:J12"/>
    <mergeCell ref="A12:B12"/>
    <mergeCell ref="A19:B19"/>
    <mergeCell ref="E19:J19"/>
    <mergeCell ref="A13:B13"/>
    <mergeCell ref="E13:J13"/>
    <mergeCell ref="A14:B14"/>
    <mergeCell ref="E14:J14"/>
    <mergeCell ref="A15:C15"/>
    <mergeCell ref="A17:D17"/>
    <mergeCell ref="E17:J18"/>
    <mergeCell ref="A18:B18"/>
    <mergeCell ref="B4:E4"/>
  </mergeCells>
  <pageMargins left="0.51181102362204722" right="0.51181102362204722" top="1.1811023622047245" bottom="1.1811023622047245" header="0.31496062992125984" footer="0.31496062992125984"/>
  <pageSetup paperSize="9" scale="49" fitToHeight="0" orientation="portrait" r:id="rId1"/>
  <headerFooter>
    <oddHeader>&amp;C&amp;"Arial Black,Normal"&amp;24COREN-AM - &amp;16PLANILHA(S) DETALHADA DE CUSTO - VIGILANTE(S) ARMADO e AGENTE DE PORTARIA - 11/05/2020</oddHeader>
    <oddFooter>&amp;LRua Tapajós, 350 – Centro, Manaus-AM, 69010-150
Horário: 8h às 16 horas. 
Telefone: (92) 3232-9924
http://www.corenam.gov.br/
e-mail: selic@corenam.gov.br&amp;CPágina &amp;P de &amp;N&amp;RSETOR DE LICITAÇÕES E 
CONTRATOS - SELIC/COREN-AM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36"/>
  <sheetViews>
    <sheetView zoomScaleNormal="100" workbookViewId="0">
      <selection activeCell="E18" sqref="E18"/>
    </sheetView>
  </sheetViews>
  <sheetFormatPr defaultRowHeight="14.5" x14ac:dyDescent="0.35"/>
  <cols>
    <col min="1" max="1" width="9.1796875" customWidth="1"/>
    <col min="2" max="3" width="10.7265625" customWidth="1"/>
    <col min="4" max="4" width="9.1796875" customWidth="1"/>
  </cols>
  <sheetData>
    <row r="1" spans="1:9" ht="15" customHeight="1" x14ac:dyDescent="0.35">
      <c r="A1" s="133" t="s">
        <v>127</v>
      </c>
      <c r="B1" s="133"/>
      <c r="C1" s="133"/>
      <c r="D1" s="133"/>
      <c r="E1" s="133"/>
      <c r="F1" s="133"/>
      <c r="G1" s="133"/>
      <c r="H1" s="133"/>
      <c r="I1" s="133"/>
    </row>
    <row r="2" spans="1:9" ht="15" customHeight="1" x14ac:dyDescent="0.35">
      <c r="A2" s="136" t="s">
        <v>128</v>
      </c>
      <c r="B2" s="137"/>
      <c r="C2" s="137"/>
      <c r="D2" s="137"/>
      <c r="E2" s="137"/>
      <c r="F2" s="137"/>
      <c r="G2" s="137"/>
      <c r="H2" s="137"/>
      <c r="I2" s="138"/>
    </row>
    <row r="3" spans="1:9" ht="39.75" customHeight="1" x14ac:dyDescent="0.35">
      <c r="A3" s="48" t="s">
        <v>96</v>
      </c>
      <c r="B3" s="139" t="s">
        <v>98</v>
      </c>
      <c r="C3" s="139"/>
      <c r="D3" s="48" t="s">
        <v>99</v>
      </c>
      <c r="E3" s="48" t="s">
        <v>102</v>
      </c>
      <c r="F3" s="69" t="s">
        <v>103</v>
      </c>
      <c r="G3" s="69"/>
      <c r="H3" s="69" t="s">
        <v>104</v>
      </c>
      <c r="I3" s="69"/>
    </row>
    <row r="4" spans="1:9" ht="15.75" customHeight="1" x14ac:dyDescent="0.35">
      <c r="A4" s="6">
        <v>1</v>
      </c>
      <c r="B4" s="103" t="s">
        <v>129</v>
      </c>
      <c r="C4" s="135"/>
      <c r="D4" s="6" t="s">
        <v>100</v>
      </c>
      <c r="E4" s="6">
        <v>2</v>
      </c>
      <c r="F4" s="134">
        <v>58.05</v>
      </c>
      <c r="G4" s="134"/>
      <c r="H4" s="134">
        <f t="shared" ref="H4:H14" si="0">F4*E4</f>
        <v>116.1</v>
      </c>
      <c r="I4" s="134"/>
    </row>
    <row r="5" spans="1:9" ht="26.25" customHeight="1" x14ac:dyDescent="0.35">
      <c r="A5" s="6">
        <f t="shared" ref="A5:A14" si="1">A4+1</f>
        <v>2</v>
      </c>
      <c r="B5" s="103" t="s">
        <v>252</v>
      </c>
      <c r="C5" s="135"/>
      <c r="D5" s="6" t="s">
        <v>100</v>
      </c>
      <c r="E5" s="6">
        <v>2</v>
      </c>
      <c r="F5" s="134">
        <v>6.72</v>
      </c>
      <c r="G5" s="134"/>
      <c r="H5" s="134">
        <f t="shared" si="0"/>
        <v>13.44</v>
      </c>
      <c r="I5" s="134"/>
    </row>
    <row r="6" spans="1:9" ht="15.75" customHeight="1" x14ac:dyDescent="0.35">
      <c r="A6" s="6">
        <f t="shared" si="1"/>
        <v>3</v>
      </c>
      <c r="B6" s="103" t="s">
        <v>130</v>
      </c>
      <c r="C6" s="135"/>
      <c r="D6" s="6" t="s">
        <v>100</v>
      </c>
      <c r="E6" s="6">
        <v>4</v>
      </c>
      <c r="F6" s="134">
        <v>43.45</v>
      </c>
      <c r="G6" s="134"/>
      <c r="H6" s="134">
        <f t="shared" si="0"/>
        <v>173.8</v>
      </c>
      <c r="I6" s="134"/>
    </row>
    <row r="7" spans="1:9" ht="15.75" customHeight="1" x14ac:dyDescent="0.35">
      <c r="A7" s="6">
        <f t="shared" si="1"/>
        <v>4</v>
      </c>
      <c r="B7" s="103" t="s">
        <v>131</v>
      </c>
      <c r="C7" s="135"/>
      <c r="D7" s="6" t="s">
        <v>100</v>
      </c>
      <c r="E7" s="6">
        <v>8</v>
      </c>
      <c r="F7" s="134">
        <v>50</v>
      </c>
      <c r="G7" s="134"/>
      <c r="H7" s="134">
        <f t="shared" si="0"/>
        <v>400</v>
      </c>
      <c r="I7" s="134"/>
    </row>
    <row r="8" spans="1:9" ht="15.75" customHeight="1" x14ac:dyDescent="0.35">
      <c r="A8" s="6">
        <f t="shared" si="1"/>
        <v>5</v>
      </c>
      <c r="B8" s="103" t="s">
        <v>132</v>
      </c>
      <c r="C8" s="135"/>
      <c r="D8" s="6" t="s">
        <v>100</v>
      </c>
      <c r="E8" s="6">
        <v>8</v>
      </c>
      <c r="F8" s="134">
        <v>9.18</v>
      </c>
      <c r="G8" s="134"/>
      <c r="H8" s="134">
        <f t="shared" si="0"/>
        <v>73.44</v>
      </c>
      <c r="I8" s="134"/>
    </row>
    <row r="9" spans="1:9" ht="15.75" customHeight="1" x14ac:dyDescent="0.35">
      <c r="A9" s="6">
        <f t="shared" si="1"/>
        <v>6</v>
      </c>
      <c r="B9" s="103" t="s">
        <v>133</v>
      </c>
      <c r="C9" s="135"/>
      <c r="D9" s="6" t="s">
        <v>100</v>
      </c>
      <c r="E9" s="6">
        <v>2</v>
      </c>
      <c r="F9" s="134">
        <v>19.96</v>
      </c>
      <c r="G9" s="134"/>
      <c r="H9" s="134">
        <f t="shared" si="0"/>
        <v>39.92</v>
      </c>
      <c r="I9" s="134"/>
    </row>
    <row r="10" spans="1:9" ht="15.75" customHeight="1" x14ac:dyDescent="0.35">
      <c r="A10" s="6">
        <f t="shared" si="1"/>
        <v>7</v>
      </c>
      <c r="B10" s="103" t="s">
        <v>134</v>
      </c>
      <c r="C10" s="135"/>
      <c r="D10" s="6" t="s">
        <v>101</v>
      </c>
      <c r="E10" s="6">
        <v>4</v>
      </c>
      <c r="F10" s="134">
        <v>5.87</v>
      </c>
      <c r="G10" s="134"/>
      <c r="H10" s="134">
        <f t="shared" si="0"/>
        <v>23.48</v>
      </c>
      <c r="I10" s="134"/>
    </row>
    <row r="11" spans="1:9" ht="15.75" customHeight="1" x14ac:dyDescent="0.35">
      <c r="A11" s="6">
        <f t="shared" si="1"/>
        <v>8</v>
      </c>
      <c r="B11" s="103" t="s">
        <v>135</v>
      </c>
      <c r="C11" s="135"/>
      <c r="D11" s="6" t="s">
        <v>101</v>
      </c>
      <c r="E11" s="6">
        <v>2</v>
      </c>
      <c r="F11" s="134">
        <v>52.56</v>
      </c>
      <c r="G11" s="134"/>
      <c r="H11" s="134">
        <f t="shared" si="0"/>
        <v>105.12</v>
      </c>
      <c r="I11" s="134"/>
    </row>
    <row r="12" spans="1:9" ht="15.75" customHeight="1" x14ac:dyDescent="0.35">
      <c r="A12" s="6">
        <f t="shared" si="1"/>
        <v>9</v>
      </c>
      <c r="B12" s="103" t="s">
        <v>191</v>
      </c>
      <c r="C12" s="135"/>
      <c r="D12" s="6" t="s">
        <v>100</v>
      </c>
      <c r="E12" s="6">
        <v>1</v>
      </c>
      <c r="F12" s="134">
        <v>5</v>
      </c>
      <c r="G12" s="134"/>
      <c r="H12" s="134">
        <f t="shared" si="0"/>
        <v>5</v>
      </c>
      <c r="I12" s="134"/>
    </row>
    <row r="13" spans="1:9" ht="15.75" customHeight="1" x14ac:dyDescent="0.35">
      <c r="A13" s="6">
        <f t="shared" si="1"/>
        <v>10</v>
      </c>
      <c r="B13" s="103" t="s">
        <v>136</v>
      </c>
      <c r="C13" s="135"/>
      <c r="D13" s="6" t="s">
        <v>100</v>
      </c>
      <c r="E13" s="6">
        <v>1</v>
      </c>
      <c r="F13" s="134">
        <v>18.2</v>
      </c>
      <c r="G13" s="134"/>
      <c r="H13" s="134">
        <f t="shared" si="0"/>
        <v>18.2</v>
      </c>
      <c r="I13" s="134"/>
    </row>
    <row r="14" spans="1:9" ht="15.75" customHeight="1" x14ac:dyDescent="0.35">
      <c r="A14" s="6">
        <f t="shared" si="1"/>
        <v>11</v>
      </c>
      <c r="B14" s="103" t="s">
        <v>137</v>
      </c>
      <c r="C14" s="135"/>
      <c r="D14" s="6" t="s">
        <v>100</v>
      </c>
      <c r="E14" s="6">
        <v>1</v>
      </c>
      <c r="F14" s="134">
        <v>5.34</v>
      </c>
      <c r="G14" s="134"/>
      <c r="H14" s="134">
        <f t="shared" si="0"/>
        <v>5.34</v>
      </c>
      <c r="I14" s="134"/>
    </row>
    <row r="15" spans="1:9" ht="15" customHeight="1" x14ac:dyDescent="0.35">
      <c r="A15" s="66" t="s">
        <v>140</v>
      </c>
      <c r="B15" s="67"/>
      <c r="C15" s="67"/>
      <c r="D15" s="67"/>
      <c r="E15" s="67"/>
      <c r="F15" s="67"/>
      <c r="G15" s="68"/>
      <c r="H15" s="140">
        <f>SUM(H4:I14)</f>
        <v>973.84</v>
      </c>
      <c r="I15" s="141"/>
    </row>
    <row r="16" spans="1:9" ht="15" customHeight="1" x14ac:dyDescent="0.35">
      <c r="A16" s="66" t="s">
        <v>249</v>
      </c>
      <c r="B16" s="67"/>
      <c r="C16" s="67"/>
      <c r="D16" s="67"/>
      <c r="E16" s="67"/>
      <c r="F16" s="67"/>
      <c r="G16" s="68"/>
      <c r="H16" s="140">
        <f>H15/12</f>
        <v>81.153333333333336</v>
      </c>
      <c r="I16" s="141"/>
    </row>
    <row r="17" spans="1:9" x14ac:dyDescent="0.35">
      <c r="A17" s="136" t="s">
        <v>138</v>
      </c>
      <c r="B17" s="137"/>
      <c r="C17" s="137"/>
      <c r="D17" s="137"/>
      <c r="E17" s="137"/>
      <c r="F17" s="137"/>
      <c r="G17" s="137"/>
      <c r="H17" s="137"/>
      <c r="I17" s="138"/>
    </row>
    <row r="18" spans="1:9" ht="37.5" x14ac:dyDescent="0.35">
      <c r="A18" s="48" t="s">
        <v>96</v>
      </c>
      <c r="B18" s="139" t="s">
        <v>98</v>
      </c>
      <c r="C18" s="139"/>
      <c r="D18" s="48" t="s">
        <v>99</v>
      </c>
      <c r="E18" s="48" t="s">
        <v>102</v>
      </c>
      <c r="F18" s="69" t="s">
        <v>103</v>
      </c>
      <c r="G18" s="69"/>
      <c r="H18" s="69" t="s">
        <v>104</v>
      </c>
      <c r="I18" s="69"/>
    </row>
    <row r="19" spans="1:9" ht="15.75" customHeight="1" x14ac:dyDescent="0.35">
      <c r="A19" s="6">
        <v>1</v>
      </c>
      <c r="B19" s="103" t="s">
        <v>129</v>
      </c>
      <c r="C19" s="135"/>
      <c r="D19" s="6" t="s">
        <v>100</v>
      </c>
      <c r="E19" s="6">
        <v>2</v>
      </c>
      <c r="F19" s="134">
        <v>58.05</v>
      </c>
      <c r="G19" s="134"/>
      <c r="H19" s="134">
        <f t="shared" ref="H19:H29" si="2">F19*E19</f>
        <v>116.1</v>
      </c>
      <c r="I19" s="134"/>
    </row>
    <row r="20" spans="1:9" ht="26.25" customHeight="1" x14ac:dyDescent="0.35">
      <c r="A20" s="6">
        <f t="shared" ref="A20:A29" si="3">A19+1</f>
        <v>2</v>
      </c>
      <c r="B20" s="103" t="s">
        <v>252</v>
      </c>
      <c r="C20" s="135"/>
      <c r="D20" s="6" t="s">
        <v>100</v>
      </c>
      <c r="E20" s="6">
        <v>2</v>
      </c>
      <c r="F20" s="134">
        <v>6.72</v>
      </c>
      <c r="G20" s="134"/>
      <c r="H20" s="134">
        <f t="shared" si="2"/>
        <v>13.44</v>
      </c>
      <c r="I20" s="134"/>
    </row>
    <row r="21" spans="1:9" ht="15.75" customHeight="1" x14ac:dyDescent="0.35">
      <c r="A21" s="6">
        <f t="shared" si="3"/>
        <v>3</v>
      </c>
      <c r="B21" s="103" t="s">
        <v>130</v>
      </c>
      <c r="C21" s="135"/>
      <c r="D21" s="6" t="s">
        <v>100</v>
      </c>
      <c r="E21" s="6">
        <v>4</v>
      </c>
      <c r="F21" s="134">
        <v>43.45</v>
      </c>
      <c r="G21" s="134"/>
      <c r="H21" s="134">
        <f t="shared" si="2"/>
        <v>173.8</v>
      </c>
      <c r="I21" s="134"/>
    </row>
    <row r="22" spans="1:9" ht="15.75" customHeight="1" x14ac:dyDescent="0.35">
      <c r="A22" s="6">
        <f t="shared" si="3"/>
        <v>4</v>
      </c>
      <c r="B22" s="103" t="s">
        <v>131</v>
      </c>
      <c r="C22" s="135"/>
      <c r="D22" s="6" t="s">
        <v>100</v>
      </c>
      <c r="E22" s="6">
        <v>8</v>
      </c>
      <c r="F22" s="134">
        <v>50</v>
      </c>
      <c r="G22" s="134"/>
      <c r="H22" s="134">
        <f t="shared" si="2"/>
        <v>400</v>
      </c>
      <c r="I22" s="134"/>
    </row>
    <row r="23" spans="1:9" ht="15.75" customHeight="1" x14ac:dyDescent="0.35">
      <c r="A23" s="6">
        <f t="shared" si="3"/>
        <v>5</v>
      </c>
      <c r="B23" s="103" t="s">
        <v>132</v>
      </c>
      <c r="C23" s="135"/>
      <c r="D23" s="6" t="s">
        <v>100</v>
      </c>
      <c r="E23" s="6">
        <v>8</v>
      </c>
      <c r="F23" s="134">
        <v>9.18</v>
      </c>
      <c r="G23" s="134"/>
      <c r="H23" s="134">
        <f t="shared" si="2"/>
        <v>73.44</v>
      </c>
      <c r="I23" s="134"/>
    </row>
    <row r="24" spans="1:9" ht="15.75" customHeight="1" x14ac:dyDescent="0.35">
      <c r="A24" s="6">
        <f t="shared" si="3"/>
        <v>6</v>
      </c>
      <c r="B24" s="103" t="s">
        <v>139</v>
      </c>
      <c r="C24" s="135"/>
      <c r="D24" s="6" t="s">
        <v>100</v>
      </c>
      <c r="E24" s="6">
        <v>2</v>
      </c>
      <c r="F24" s="134">
        <v>19.96</v>
      </c>
      <c r="G24" s="134"/>
      <c r="H24" s="134">
        <f t="shared" si="2"/>
        <v>39.92</v>
      </c>
      <c r="I24" s="134"/>
    </row>
    <row r="25" spans="1:9" ht="15.75" customHeight="1" x14ac:dyDescent="0.35">
      <c r="A25" s="6">
        <f t="shared" si="3"/>
        <v>7</v>
      </c>
      <c r="B25" s="103" t="s">
        <v>134</v>
      </c>
      <c r="C25" s="135"/>
      <c r="D25" s="6" t="s">
        <v>101</v>
      </c>
      <c r="E25" s="6">
        <v>4</v>
      </c>
      <c r="F25" s="134">
        <v>5.87</v>
      </c>
      <c r="G25" s="134"/>
      <c r="H25" s="134">
        <f t="shared" si="2"/>
        <v>23.48</v>
      </c>
      <c r="I25" s="134"/>
    </row>
    <row r="26" spans="1:9" ht="15.75" customHeight="1" x14ac:dyDescent="0.35">
      <c r="A26" s="6">
        <f t="shared" si="3"/>
        <v>8</v>
      </c>
      <c r="B26" s="103" t="s">
        <v>135</v>
      </c>
      <c r="C26" s="135"/>
      <c r="D26" s="6" t="s">
        <v>101</v>
      </c>
      <c r="E26" s="6">
        <v>2</v>
      </c>
      <c r="F26" s="134">
        <v>65.97</v>
      </c>
      <c r="G26" s="134"/>
      <c r="H26" s="134">
        <f t="shared" si="2"/>
        <v>131.94</v>
      </c>
      <c r="I26" s="134"/>
    </row>
    <row r="27" spans="1:9" ht="15.75" customHeight="1" x14ac:dyDescent="0.35">
      <c r="A27" s="6">
        <f t="shared" si="3"/>
        <v>9</v>
      </c>
      <c r="B27" s="103" t="s">
        <v>191</v>
      </c>
      <c r="C27" s="135"/>
      <c r="D27" s="6" t="s">
        <v>100</v>
      </c>
      <c r="E27" s="6">
        <v>1</v>
      </c>
      <c r="F27" s="134">
        <v>5</v>
      </c>
      <c r="G27" s="134"/>
      <c r="H27" s="134">
        <f t="shared" si="2"/>
        <v>5</v>
      </c>
      <c r="I27" s="134"/>
    </row>
    <row r="28" spans="1:9" ht="15.75" customHeight="1" x14ac:dyDescent="0.35">
      <c r="A28" s="6">
        <f t="shared" si="3"/>
        <v>10</v>
      </c>
      <c r="B28" s="103" t="s">
        <v>136</v>
      </c>
      <c r="C28" s="135"/>
      <c r="D28" s="6" t="s">
        <v>100</v>
      </c>
      <c r="E28" s="6">
        <v>1</v>
      </c>
      <c r="F28" s="134">
        <v>18.2</v>
      </c>
      <c r="G28" s="134"/>
      <c r="H28" s="134">
        <f t="shared" si="2"/>
        <v>18.2</v>
      </c>
      <c r="I28" s="134"/>
    </row>
    <row r="29" spans="1:9" ht="15.75" customHeight="1" x14ac:dyDescent="0.35">
      <c r="A29" s="6">
        <f t="shared" si="3"/>
        <v>11</v>
      </c>
      <c r="B29" s="103" t="s">
        <v>137</v>
      </c>
      <c r="C29" s="135"/>
      <c r="D29" s="6" t="s">
        <v>100</v>
      </c>
      <c r="E29" s="6">
        <v>1</v>
      </c>
      <c r="F29" s="134">
        <v>5.34</v>
      </c>
      <c r="G29" s="134"/>
      <c r="H29" s="134">
        <f t="shared" si="2"/>
        <v>5.34</v>
      </c>
      <c r="I29" s="134"/>
    </row>
    <row r="30" spans="1:9" x14ac:dyDescent="0.35">
      <c r="A30" s="66" t="s">
        <v>204</v>
      </c>
      <c r="B30" s="67"/>
      <c r="C30" s="67"/>
      <c r="D30" s="67"/>
      <c r="E30" s="67"/>
      <c r="F30" s="67"/>
      <c r="G30" s="68"/>
      <c r="H30" s="140">
        <f>SUM(H19:I29)</f>
        <v>1000.66</v>
      </c>
      <c r="I30" s="141"/>
    </row>
    <row r="31" spans="1:9" x14ac:dyDescent="0.35">
      <c r="A31" s="66" t="s">
        <v>250</v>
      </c>
      <c r="B31" s="67"/>
      <c r="C31" s="67"/>
      <c r="D31" s="67"/>
      <c r="E31" s="67"/>
      <c r="F31" s="67"/>
      <c r="G31" s="68"/>
      <c r="H31" s="140">
        <f>H30/12</f>
        <v>83.388333333333335</v>
      </c>
      <c r="I31" s="141"/>
    </row>
    <row r="32" spans="1:9" x14ac:dyDescent="0.35">
      <c r="A32" s="66" t="s">
        <v>251</v>
      </c>
      <c r="B32" s="67"/>
      <c r="C32" s="67"/>
      <c r="D32" s="67"/>
      <c r="E32" s="67"/>
      <c r="F32" s="67"/>
      <c r="G32" s="68"/>
      <c r="H32" s="140">
        <f>(H16+H31)/2</f>
        <v>82.270833333333343</v>
      </c>
      <c r="I32" s="141"/>
    </row>
    <row r="33" spans="1:9" x14ac:dyDescent="0.35">
      <c r="A33" s="21"/>
      <c r="B33" s="21"/>
      <c r="C33" s="21"/>
      <c r="D33" s="21"/>
      <c r="E33" s="21"/>
      <c r="F33" s="21"/>
      <c r="G33" s="21"/>
      <c r="H33" s="21"/>
      <c r="I33" s="21"/>
    </row>
    <row r="34" spans="1:9" x14ac:dyDescent="0.35">
      <c r="A34" s="54" t="s">
        <v>110</v>
      </c>
      <c r="B34" s="54"/>
      <c r="C34" s="54"/>
      <c r="D34" s="54"/>
      <c r="E34" s="54"/>
      <c r="F34" s="54"/>
      <c r="G34" s="54"/>
      <c r="H34" s="54"/>
      <c r="I34" s="54"/>
    </row>
    <row r="35" spans="1:9" x14ac:dyDescent="0.35">
      <c r="A35" s="58" t="s">
        <v>186</v>
      </c>
      <c r="B35" s="58"/>
      <c r="C35" s="58"/>
      <c r="D35" s="58"/>
      <c r="E35" s="58"/>
      <c r="F35" s="58"/>
      <c r="G35" s="58"/>
      <c r="H35" s="58"/>
      <c r="I35" s="58"/>
    </row>
    <row r="36" spans="1:9" x14ac:dyDescent="0.35">
      <c r="A36" s="58" t="s">
        <v>185</v>
      </c>
      <c r="B36" s="58"/>
      <c r="C36" s="58"/>
      <c r="D36" s="58"/>
      <c r="E36" s="58"/>
      <c r="F36" s="58"/>
      <c r="G36" s="58"/>
      <c r="H36" s="58"/>
      <c r="I36" s="58"/>
    </row>
  </sheetData>
  <mergeCells count="88">
    <mergeCell ref="A36:I36"/>
    <mergeCell ref="A31:G31"/>
    <mergeCell ref="H31:I31"/>
    <mergeCell ref="A32:G32"/>
    <mergeCell ref="H32:I32"/>
    <mergeCell ref="B29:C29"/>
    <mergeCell ref="F29:G29"/>
    <mergeCell ref="H29:I29"/>
    <mergeCell ref="A30:G30"/>
    <mergeCell ref="H30:I30"/>
    <mergeCell ref="B26:C26"/>
    <mergeCell ref="F26:G26"/>
    <mergeCell ref="H26:I26"/>
    <mergeCell ref="B28:C28"/>
    <mergeCell ref="F28:G28"/>
    <mergeCell ref="H28:I28"/>
    <mergeCell ref="B27:C27"/>
    <mergeCell ref="F27:G27"/>
    <mergeCell ref="H27:I27"/>
    <mergeCell ref="B24:C24"/>
    <mergeCell ref="F24:G24"/>
    <mergeCell ref="H24:I24"/>
    <mergeCell ref="B25:C25"/>
    <mergeCell ref="F25:G25"/>
    <mergeCell ref="H25:I25"/>
    <mergeCell ref="B22:C22"/>
    <mergeCell ref="F22:G22"/>
    <mergeCell ref="H22:I22"/>
    <mergeCell ref="B23:C23"/>
    <mergeCell ref="F23:G23"/>
    <mergeCell ref="H23:I23"/>
    <mergeCell ref="B21:C21"/>
    <mergeCell ref="F21:G21"/>
    <mergeCell ref="H21:I21"/>
    <mergeCell ref="B19:C19"/>
    <mergeCell ref="F19:G19"/>
    <mergeCell ref="H19:I19"/>
    <mergeCell ref="B20:C20"/>
    <mergeCell ref="F20:G20"/>
    <mergeCell ref="H20:I20"/>
    <mergeCell ref="B14:C14"/>
    <mergeCell ref="F14:G14"/>
    <mergeCell ref="H14:I14"/>
    <mergeCell ref="A17:I17"/>
    <mergeCell ref="B18:C18"/>
    <mergeCell ref="F18:G18"/>
    <mergeCell ref="H18:I18"/>
    <mergeCell ref="H15:I15"/>
    <mergeCell ref="B11:C11"/>
    <mergeCell ref="F11:G11"/>
    <mergeCell ref="H11:I11"/>
    <mergeCell ref="B13:C13"/>
    <mergeCell ref="F13:G13"/>
    <mergeCell ref="H13:I13"/>
    <mergeCell ref="B12:C12"/>
    <mergeCell ref="F12:G12"/>
    <mergeCell ref="H12:I12"/>
    <mergeCell ref="H8:I8"/>
    <mergeCell ref="B9:C9"/>
    <mergeCell ref="F9:G9"/>
    <mergeCell ref="H9:I9"/>
    <mergeCell ref="B10:C10"/>
    <mergeCell ref="F10:G10"/>
    <mergeCell ref="H10:I10"/>
    <mergeCell ref="H6:I6"/>
    <mergeCell ref="A34:I34"/>
    <mergeCell ref="A35:I35"/>
    <mergeCell ref="H3:I3"/>
    <mergeCell ref="F3:G3"/>
    <mergeCell ref="B3:C3"/>
    <mergeCell ref="B6:C6"/>
    <mergeCell ref="F6:G6"/>
    <mergeCell ref="A16:G16"/>
    <mergeCell ref="H16:I16"/>
    <mergeCell ref="A15:G15"/>
    <mergeCell ref="B7:C7"/>
    <mergeCell ref="F7:G7"/>
    <mergeCell ref="H7:I7"/>
    <mergeCell ref="B8:C8"/>
    <mergeCell ref="F8:G8"/>
    <mergeCell ref="A1:I1"/>
    <mergeCell ref="H4:I4"/>
    <mergeCell ref="B5:C5"/>
    <mergeCell ref="F5:G5"/>
    <mergeCell ref="H5:I5"/>
    <mergeCell ref="B4:C4"/>
    <mergeCell ref="F4:G4"/>
    <mergeCell ref="A2:I2"/>
  </mergeCells>
  <pageMargins left="0.51181102362204722" right="0.51181102362204722" top="1.1811023622047245" bottom="1.1811023622047245" header="0.31496062992125984" footer="0.31496062992125984"/>
  <pageSetup paperSize="9" fitToHeight="0" orientation="portrait" r:id="rId1"/>
  <headerFooter>
    <oddHeader>&amp;C&amp;"Arial Black,Normal"&amp;24COREN-AM - &amp;16PLANILHA(S) DETALHADA DE CUSTO - VIGILANTE(S) ARMADO e AGENTE DE PORTARIA - 11/05/2020</oddHeader>
    <oddFooter>&amp;LRua Tapajós, 350 – Centro, Manaus-AM, 69010-150
Horário: 8h às 16 horas. 
Telefone: (92) 3232-9924
http://www.corenam.gov.br/
e-mail: selic@corenam.gov.br&amp;CPágina &amp;P de &amp;N&amp;RSETOR DE LICITAÇÕES E 
CONTRATOS - SELIC/COREN-AM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34"/>
  <sheetViews>
    <sheetView zoomScaleNormal="100" workbookViewId="0">
      <selection activeCell="D27" sqref="D27"/>
    </sheetView>
  </sheetViews>
  <sheetFormatPr defaultRowHeight="14.5" x14ac:dyDescent="0.35"/>
  <cols>
    <col min="1" max="1" width="9.1796875" customWidth="1"/>
    <col min="2" max="3" width="10.7265625" customWidth="1"/>
    <col min="4" max="4" width="9.1796875" customWidth="1"/>
  </cols>
  <sheetData>
    <row r="1" spans="1:9" ht="15" customHeight="1" x14ac:dyDescent="0.35">
      <c r="A1" s="133" t="s">
        <v>205</v>
      </c>
      <c r="B1" s="133"/>
      <c r="C1" s="133"/>
      <c r="D1" s="133"/>
      <c r="E1" s="133"/>
      <c r="F1" s="133"/>
      <c r="G1" s="133"/>
      <c r="H1" s="133"/>
      <c r="I1" s="133"/>
    </row>
    <row r="2" spans="1:9" ht="15" customHeight="1" x14ac:dyDescent="0.35">
      <c r="A2" s="136" t="s">
        <v>128</v>
      </c>
      <c r="B2" s="137"/>
      <c r="C2" s="137"/>
      <c r="D2" s="137"/>
      <c r="E2" s="137"/>
      <c r="F2" s="137"/>
      <c r="G2" s="137"/>
      <c r="H2" s="137"/>
      <c r="I2" s="138"/>
    </row>
    <row r="3" spans="1:9" ht="39.75" customHeight="1" x14ac:dyDescent="0.35">
      <c r="A3" s="48" t="s">
        <v>96</v>
      </c>
      <c r="B3" s="139" t="s">
        <v>98</v>
      </c>
      <c r="C3" s="139"/>
      <c r="D3" s="48" t="s">
        <v>99</v>
      </c>
      <c r="E3" s="48" t="s">
        <v>102</v>
      </c>
      <c r="F3" s="69" t="s">
        <v>103</v>
      </c>
      <c r="G3" s="69"/>
      <c r="H3" s="69" t="s">
        <v>104</v>
      </c>
      <c r="I3" s="69"/>
    </row>
    <row r="4" spans="1:9" ht="15.75" customHeight="1" x14ac:dyDescent="0.35">
      <c r="A4" s="6">
        <v>1</v>
      </c>
      <c r="B4" s="103" t="s">
        <v>131</v>
      </c>
      <c r="C4" s="135"/>
      <c r="D4" s="6" t="s">
        <v>100</v>
      </c>
      <c r="E4" s="6">
        <v>8</v>
      </c>
      <c r="F4" s="134">
        <v>15</v>
      </c>
      <c r="G4" s="134"/>
      <c r="H4" s="134">
        <f t="shared" ref="H4:H13" si="0">F4*E4</f>
        <v>120</v>
      </c>
      <c r="I4" s="134"/>
    </row>
    <row r="5" spans="1:9" ht="26.25" customHeight="1" x14ac:dyDescent="0.35">
      <c r="A5" s="6">
        <f t="shared" ref="A5:A13" si="1">A4+1</f>
        <v>2</v>
      </c>
      <c r="B5" s="103" t="s">
        <v>252</v>
      </c>
      <c r="C5" s="135"/>
      <c r="D5" s="6" t="s">
        <v>100</v>
      </c>
      <c r="E5" s="6">
        <v>8</v>
      </c>
      <c r="F5" s="134">
        <v>6.72</v>
      </c>
      <c r="G5" s="134"/>
      <c r="H5" s="134">
        <f t="shared" si="0"/>
        <v>53.76</v>
      </c>
      <c r="I5" s="134"/>
    </row>
    <row r="6" spans="1:9" ht="15.75" customHeight="1" x14ac:dyDescent="0.35">
      <c r="A6" s="6">
        <f t="shared" si="1"/>
        <v>3</v>
      </c>
      <c r="B6" s="103" t="s">
        <v>130</v>
      </c>
      <c r="C6" s="135"/>
      <c r="D6" s="6" t="s">
        <v>100</v>
      </c>
      <c r="E6" s="6">
        <v>4</v>
      </c>
      <c r="F6" s="134">
        <v>20</v>
      </c>
      <c r="G6" s="134"/>
      <c r="H6" s="134">
        <f t="shared" si="0"/>
        <v>80</v>
      </c>
      <c r="I6" s="134"/>
    </row>
    <row r="7" spans="1:9" ht="15.75" customHeight="1" x14ac:dyDescent="0.35">
      <c r="A7" s="6">
        <f t="shared" si="1"/>
        <v>4</v>
      </c>
      <c r="B7" s="103" t="s">
        <v>132</v>
      </c>
      <c r="C7" s="135"/>
      <c r="D7" s="6" t="s">
        <v>100</v>
      </c>
      <c r="E7" s="6">
        <v>4</v>
      </c>
      <c r="F7" s="134">
        <v>9.18</v>
      </c>
      <c r="G7" s="134"/>
      <c r="H7" s="134">
        <f t="shared" si="0"/>
        <v>36.72</v>
      </c>
      <c r="I7" s="134"/>
    </row>
    <row r="8" spans="1:9" ht="15.75" customHeight="1" x14ac:dyDescent="0.35">
      <c r="A8" s="6">
        <f t="shared" si="1"/>
        <v>5</v>
      </c>
      <c r="B8" s="103" t="s">
        <v>134</v>
      </c>
      <c r="C8" s="135"/>
      <c r="D8" s="6" t="s">
        <v>101</v>
      </c>
      <c r="E8" s="6">
        <v>4</v>
      </c>
      <c r="F8" s="134">
        <v>3</v>
      </c>
      <c r="G8" s="134"/>
      <c r="H8" s="134">
        <f t="shared" si="0"/>
        <v>12</v>
      </c>
      <c r="I8" s="134"/>
    </row>
    <row r="9" spans="1:9" ht="15.75" customHeight="1" x14ac:dyDescent="0.35">
      <c r="A9" s="6">
        <f t="shared" si="1"/>
        <v>6</v>
      </c>
      <c r="B9" s="103" t="s">
        <v>135</v>
      </c>
      <c r="C9" s="135"/>
      <c r="D9" s="6" t="s">
        <v>101</v>
      </c>
      <c r="E9" s="6">
        <v>2</v>
      </c>
      <c r="F9" s="134">
        <v>27</v>
      </c>
      <c r="G9" s="134"/>
      <c r="H9" s="134">
        <f t="shared" si="0"/>
        <v>54</v>
      </c>
      <c r="I9" s="134"/>
    </row>
    <row r="10" spans="1:9" ht="15.75" customHeight="1" x14ac:dyDescent="0.35">
      <c r="A10" s="6">
        <f t="shared" si="1"/>
        <v>7</v>
      </c>
      <c r="B10" s="103" t="s">
        <v>133</v>
      </c>
      <c r="C10" s="135"/>
      <c r="D10" s="6" t="s">
        <v>100</v>
      </c>
      <c r="E10" s="6">
        <v>2</v>
      </c>
      <c r="F10" s="134">
        <v>10</v>
      </c>
      <c r="G10" s="134"/>
      <c r="H10" s="134">
        <f t="shared" si="0"/>
        <v>20</v>
      </c>
      <c r="I10" s="134"/>
    </row>
    <row r="11" spans="1:9" ht="15.75" customHeight="1" x14ac:dyDescent="0.35">
      <c r="A11" s="6">
        <f t="shared" si="1"/>
        <v>8</v>
      </c>
      <c r="B11" s="103" t="s">
        <v>191</v>
      </c>
      <c r="C11" s="135"/>
      <c r="D11" s="6" t="s">
        <v>100</v>
      </c>
      <c r="E11" s="6">
        <v>1</v>
      </c>
      <c r="F11" s="134">
        <v>5</v>
      </c>
      <c r="G11" s="134"/>
      <c r="H11" s="134">
        <f t="shared" si="0"/>
        <v>5</v>
      </c>
      <c r="I11" s="134"/>
    </row>
    <row r="12" spans="1:9" ht="15.75" customHeight="1" x14ac:dyDescent="0.35">
      <c r="A12" s="6">
        <f t="shared" si="1"/>
        <v>9</v>
      </c>
      <c r="B12" s="103" t="s">
        <v>136</v>
      </c>
      <c r="C12" s="135"/>
      <c r="D12" s="6" t="s">
        <v>100</v>
      </c>
      <c r="E12" s="6">
        <v>1</v>
      </c>
      <c r="F12" s="134">
        <v>18.2</v>
      </c>
      <c r="G12" s="134"/>
      <c r="H12" s="134">
        <f t="shared" si="0"/>
        <v>18.2</v>
      </c>
      <c r="I12" s="134"/>
    </row>
    <row r="13" spans="1:9" ht="15.75" customHeight="1" x14ac:dyDescent="0.35">
      <c r="A13" s="6">
        <f t="shared" si="1"/>
        <v>10</v>
      </c>
      <c r="B13" s="103" t="s">
        <v>137</v>
      </c>
      <c r="C13" s="135"/>
      <c r="D13" s="6" t="s">
        <v>100</v>
      </c>
      <c r="E13" s="6">
        <v>1</v>
      </c>
      <c r="F13" s="134">
        <v>5.34</v>
      </c>
      <c r="G13" s="134"/>
      <c r="H13" s="134">
        <f t="shared" si="0"/>
        <v>5.34</v>
      </c>
      <c r="I13" s="134"/>
    </row>
    <row r="14" spans="1:9" ht="15" customHeight="1" x14ac:dyDescent="0.35">
      <c r="A14" s="66" t="s">
        <v>140</v>
      </c>
      <c r="B14" s="67"/>
      <c r="C14" s="67"/>
      <c r="D14" s="67"/>
      <c r="E14" s="67"/>
      <c r="F14" s="67"/>
      <c r="G14" s="68"/>
      <c r="H14" s="140">
        <f>SUM(H4:I13)</f>
        <v>405.02</v>
      </c>
      <c r="I14" s="141"/>
    </row>
    <row r="15" spans="1:9" ht="15" customHeight="1" x14ac:dyDescent="0.35">
      <c r="A15" s="66" t="s">
        <v>249</v>
      </c>
      <c r="B15" s="67"/>
      <c r="C15" s="67"/>
      <c r="D15" s="67"/>
      <c r="E15" s="67"/>
      <c r="F15" s="67"/>
      <c r="G15" s="68"/>
      <c r="H15" s="140">
        <f>H14/12</f>
        <v>33.751666666666665</v>
      </c>
      <c r="I15" s="141"/>
    </row>
    <row r="16" spans="1:9" x14ac:dyDescent="0.35">
      <c r="A16" s="136" t="s">
        <v>138</v>
      </c>
      <c r="B16" s="137"/>
      <c r="C16" s="137"/>
      <c r="D16" s="137"/>
      <c r="E16" s="137"/>
      <c r="F16" s="137"/>
      <c r="G16" s="137"/>
      <c r="H16" s="137"/>
      <c r="I16" s="138"/>
    </row>
    <row r="17" spans="1:9" ht="37.5" x14ac:dyDescent="0.35">
      <c r="A17" s="48" t="s">
        <v>96</v>
      </c>
      <c r="B17" s="139" t="s">
        <v>98</v>
      </c>
      <c r="C17" s="139"/>
      <c r="D17" s="48" t="s">
        <v>99</v>
      </c>
      <c r="E17" s="48" t="s">
        <v>102</v>
      </c>
      <c r="F17" s="69" t="s">
        <v>103</v>
      </c>
      <c r="G17" s="69"/>
      <c r="H17" s="69" t="s">
        <v>104</v>
      </c>
      <c r="I17" s="69"/>
    </row>
    <row r="18" spans="1:9" ht="15.75" customHeight="1" x14ac:dyDescent="0.35">
      <c r="A18" s="6">
        <v>1</v>
      </c>
      <c r="B18" s="103" t="s">
        <v>131</v>
      </c>
      <c r="C18" s="135"/>
      <c r="D18" s="6" t="s">
        <v>100</v>
      </c>
      <c r="E18" s="6">
        <v>8</v>
      </c>
      <c r="F18" s="134">
        <v>15</v>
      </c>
      <c r="G18" s="134"/>
      <c r="H18" s="134">
        <f t="shared" ref="H18:H27" si="2">F18*E18</f>
        <v>120</v>
      </c>
      <c r="I18" s="134"/>
    </row>
    <row r="19" spans="1:9" ht="26.25" customHeight="1" x14ac:dyDescent="0.35">
      <c r="A19" s="6">
        <f t="shared" ref="A19:A23" si="3">A18+1</f>
        <v>2</v>
      </c>
      <c r="B19" s="103" t="s">
        <v>252</v>
      </c>
      <c r="C19" s="135"/>
      <c r="D19" s="6" t="s">
        <v>100</v>
      </c>
      <c r="E19" s="6">
        <v>8</v>
      </c>
      <c r="F19" s="134">
        <v>6.72</v>
      </c>
      <c r="G19" s="134"/>
      <c r="H19" s="134">
        <f t="shared" si="2"/>
        <v>53.76</v>
      </c>
      <c r="I19" s="134"/>
    </row>
    <row r="20" spans="1:9" ht="15.75" customHeight="1" x14ac:dyDescent="0.35">
      <c r="A20" s="6">
        <f t="shared" si="3"/>
        <v>3</v>
      </c>
      <c r="B20" s="103" t="s">
        <v>130</v>
      </c>
      <c r="C20" s="135"/>
      <c r="D20" s="6" t="s">
        <v>100</v>
      </c>
      <c r="E20" s="6">
        <v>4</v>
      </c>
      <c r="F20" s="134">
        <v>20</v>
      </c>
      <c r="G20" s="134"/>
      <c r="H20" s="134">
        <f t="shared" si="2"/>
        <v>80</v>
      </c>
      <c r="I20" s="134"/>
    </row>
    <row r="21" spans="1:9" ht="15.75" customHeight="1" x14ac:dyDescent="0.35">
      <c r="A21" s="6">
        <f t="shared" si="3"/>
        <v>4</v>
      </c>
      <c r="B21" s="103" t="s">
        <v>132</v>
      </c>
      <c r="C21" s="135"/>
      <c r="D21" s="6" t="s">
        <v>100</v>
      </c>
      <c r="E21" s="6">
        <v>4</v>
      </c>
      <c r="F21" s="134">
        <v>9.18</v>
      </c>
      <c r="G21" s="134"/>
      <c r="H21" s="134">
        <f t="shared" si="2"/>
        <v>36.72</v>
      </c>
      <c r="I21" s="134"/>
    </row>
    <row r="22" spans="1:9" ht="15.75" customHeight="1" x14ac:dyDescent="0.35">
      <c r="A22" s="6">
        <f t="shared" si="3"/>
        <v>5</v>
      </c>
      <c r="B22" s="103" t="s">
        <v>134</v>
      </c>
      <c r="C22" s="135"/>
      <c r="D22" s="6" t="s">
        <v>101</v>
      </c>
      <c r="E22" s="6">
        <v>4</v>
      </c>
      <c r="F22" s="134">
        <v>3</v>
      </c>
      <c r="G22" s="134"/>
      <c r="H22" s="134">
        <f t="shared" si="2"/>
        <v>12</v>
      </c>
      <c r="I22" s="134"/>
    </row>
    <row r="23" spans="1:9" ht="15.75" customHeight="1" x14ac:dyDescent="0.35">
      <c r="A23" s="6">
        <f t="shared" si="3"/>
        <v>6</v>
      </c>
      <c r="B23" s="103" t="s">
        <v>135</v>
      </c>
      <c r="C23" s="135"/>
      <c r="D23" s="6" t="s">
        <v>101</v>
      </c>
      <c r="E23" s="6">
        <v>2</v>
      </c>
      <c r="F23" s="134">
        <v>27</v>
      </c>
      <c r="G23" s="134"/>
      <c r="H23" s="134">
        <f t="shared" si="2"/>
        <v>54</v>
      </c>
      <c r="I23" s="134"/>
    </row>
    <row r="24" spans="1:9" ht="15.75" customHeight="1" x14ac:dyDescent="0.35">
      <c r="A24" s="6">
        <f t="shared" ref="A24:A27" si="4">A23+1</f>
        <v>7</v>
      </c>
      <c r="B24" s="103" t="s">
        <v>139</v>
      </c>
      <c r="C24" s="135"/>
      <c r="D24" s="6" t="s">
        <v>100</v>
      </c>
      <c r="E24" s="6">
        <v>2</v>
      </c>
      <c r="F24" s="134">
        <v>10</v>
      </c>
      <c r="G24" s="134"/>
      <c r="H24" s="134">
        <f t="shared" si="2"/>
        <v>20</v>
      </c>
      <c r="I24" s="134"/>
    </row>
    <row r="25" spans="1:9" ht="15.75" customHeight="1" x14ac:dyDescent="0.35">
      <c r="A25" s="6">
        <f t="shared" si="4"/>
        <v>8</v>
      </c>
      <c r="B25" s="103" t="s">
        <v>191</v>
      </c>
      <c r="C25" s="135"/>
      <c r="D25" s="6" t="s">
        <v>100</v>
      </c>
      <c r="E25" s="6">
        <v>1</v>
      </c>
      <c r="F25" s="134">
        <v>5</v>
      </c>
      <c r="G25" s="134"/>
      <c r="H25" s="134">
        <f t="shared" si="2"/>
        <v>5</v>
      </c>
      <c r="I25" s="134"/>
    </row>
    <row r="26" spans="1:9" ht="15.75" customHeight="1" x14ac:dyDescent="0.35">
      <c r="A26" s="6">
        <f t="shared" si="4"/>
        <v>9</v>
      </c>
      <c r="B26" s="103" t="s">
        <v>136</v>
      </c>
      <c r="C26" s="135"/>
      <c r="D26" s="6" t="s">
        <v>100</v>
      </c>
      <c r="E26" s="6">
        <v>1</v>
      </c>
      <c r="F26" s="134">
        <v>18.2</v>
      </c>
      <c r="G26" s="134"/>
      <c r="H26" s="134">
        <f t="shared" si="2"/>
        <v>18.2</v>
      </c>
      <c r="I26" s="134"/>
    </row>
    <row r="27" spans="1:9" ht="15.75" customHeight="1" x14ac:dyDescent="0.35">
      <c r="A27" s="6">
        <f t="shared" si="4"/>
        <v>10</v>
      </c>
      <c r="B27" s="103" t="s">
        <v>137</v>
      </c>
      <c r="C27" s="135"/>
      <c r="D27" s="6" t="s">
        <v>100</v>
      </c>
      <c r="E27" s="6">
        <v>1</v>
      </c>
      <c r="F27" s="134">
        <v>5.34</v>
      </c>
      <c r="G27" s="134"/>
      <c r="H27" s="134">
        <f t="shared" si="2"/>
        <v>5.34</v>
      </c>
      <c r="I27" s="134"/>
    </row>
    <row r="28" spans="1:9" x14ac:dyDescent="0.35">
      <c r="A28" s="66" t="s">
        <v>204</v>
      </c>
      <c r="B28" s="67"/>
      <c r="C28" s="67"/>
      <c r="D28" s="67"/>
      <c r="E28" s="67"/>
      <c r="F28" s="67"/>
      <c r="G28" s="68"/>
      <c r="H28" s="140">
        <f>SUM(H18:I27)</f>
        <v>405.02</v>
      </c>
      <c r="I28" s="141"/>
    </row>
    <row r="29" spans="1:9" x14ac:dyDescent="0.35">
      <c r="A29" s="66" t="s">
        <v>250</v>
      </c>
      <c r="B29" s="67"/>
      <c r="C29" s="67"/>
      <c r="D29" s="67"/>
      <c r="E29" s="67"/>
      <c r="F29" s="67"/>
      <c r="G29" s="68"/>
      <c r="H29" s="140">
        <f>H28/12</f>
        <v>33.751666666666665</v>
      </c>
      <c r="I29" s="141"/>
    </row>
    <row r="30" spans="1:9" x14ac:dyDescent="0.35">
      <c r="A30" s="66" t="s">
        <v>251</v>
      </c>
      <c r="B30" s="67"/>
      <c r="C30" s="67"/>
      <c r="D30" s="67"/>
      <c r="E30" s="67"/>
      <c r="F30" s="67"/>
      <c r="G30" s="68"/>
      <c r="H30" s="140">
        <f>(H15+H29)/2</f>
        <v>33.751666666666665</v>
      </c>
      <c r="I30" s="141"/>
    </row>
    <row r="31" spans="1:9" x14ac:dyDescent="0.35">
      <c r="A31" s="21"/>
      <c r="B31" s="21"/>
      <c r="C31" s="21"/>
      <c r="D31" s="21"/>
      <c r="E31" s="21"/>
      <c r="F31" s="21"/>
      <c r="G31" s="21"/>
      <c r="H31" s="21"/>
      <c r="I31" s="21"/>
    </row>
    <row r="32" spans="1:9" x14ac:dyDescent="0.35">
      <c r="A32" s="54" t="s">
        <v>110</v>
      </c>
      <c r="B32" s="54"/>
      <c r="C32" s="54"/>
      <c r="D32" s="54"/>
      <c r="E32" s="54"/>
      <c r="F32" s="54"/>
      <c r="G32" s="54"/>
      <c r="H32" s="54"/>
      <c r="I32" s="54"/>
    </row>
    <row r="33" spans="1:9" x14ac:dyDescent="0.35">
      <c r="A33" s="58" t="s">
        <v>186</v>
      </c>
      <c r="B33" s="58"/>
      <c r="C33" s="58"/>
      <c r="D33" s="58"/>
      <c r="E33" s="58"/>
      <c r="F33" s="58"/>
      <c r="G33" s="58"/>
      <c r="H33" s="58"/>
      <c r="I33" s="58"/>
    </row>
    <row r="34" spans="1:9" x14ac:dyDescent="0.35">
      <c r="A34" s="58" t="s">
        <v>185</v>
      </c>
      <c r="B34" s="58"/>
      <c r="C34" s="58"/>
      <c r="D34" s="58"/>
      <c r="E34" s="58"/>
      <c r="F34" s="58"/>
      <c r="G34" s="58"/>
      <c r="H34" s="58"/>
      <c r="I34" s="58"/>
    </row>
  </sheetData>
  <mergeCells count="82">
    <mergeCell ref="B7:C7"/>
    <mergeCell ref="F7:G7"/>
    <mergeCell ref="H7:I7"/>
    <mergeCell ref="B21:C21"/>
    <mergeCell ref="F21:G21"/>
    <mergeCell ref="H21:I21"/>
    <mergeCell ref="B8:C8"/>
    <mergeCell ref="F8:G8"/>
    <mergeCell ref="H8:I8"/>
    <mergeCell ref="B9:C9"/>
    <mergeCell ref="F9:G9"/>
    <mergeCell ref="H9:I9"/>
    <mergeCell ref="B10:C10"/>
    <mergeCell ref="F10:G10"/>
    <mergeCell ref="H10:I10"/>
    <mergeCell ref="B11:C11"/>
    <mergeCell ref="B4:C4"/>
    <mergeCell ref="F4:G4"/>
    <mergeCell ref="H4:I4"/>
    <mergeCell ref="A1:I1"/>
    <mergeCell ref="A2:I2"/>
    <mergeCell ref="B3:C3"/>
    <mergeCell ref="F3:G3"/>
    <mergeCell ref="H3:I3"/>
    <mergeCell ref="B5:C5"/>
    <mergeCell ref="F5:G5"/>
    <mergeCell ref="H5:I5"/>
    <mergeCell ref="B6:C6"/>
    <mergeCell ref="F6:G6"/>
    <mergeCell ref="H6:I6"/>
    <mergeCell ref="F11:G11"/>
    <mergeCell ref="H11:I11"/>
    <mergeCell ref="A15:G15"/>
    <mergeCell ref="H15:I15"/>
    <mergeCell ref="B12:C12"/>
    <mergeCell ref="F12:G12"/>
    <mergeCell ref="H12:I12"/>
    <mergeCell ref="B13:C13"/>
    <mergeCell ref="F13:G13"/>
    <mergeCell ref="H13:I13"/>
    <mergeCell ref="A14:G14"/>
    <mergeCell ref="H14:I14"/>
    <mergeCell ref="A16:I16"/>
    <mergeCell ref="B17:C17"/>
    <mergeCell ref="F17:G17"/>
    <mergeCell ref="H17:I17"/>
    <mergeCell ref="B18:C18"/>
    <mergeCell ref="F18:G18"/>
    <mergeCell ref="H18:I18"/>
    <mergeCell ref="B19:C19"/>
    <mergeCell ref="F19:G19"/>
    <mergeCell ref="H19:I19"/>
    <mergeCell ref="B20:C20"/>
    <mergeCell ref="F20:G20"/>
    <mergeCell ref="H20:I20"/>
    <mergeCell ref="B22:C22"/>
    <mergeCell ref="F22:G22"/>
    <mergeCell ref="H22:I22"/>
    <mergeCell ref="B23:C23"/>
    <mergeCell ref="F23:G23"/>
    <mergeCell ref="H23:I23"/>
    <mergeCell ref="B24:C24"/>
    <mergeCell ref="F24:G24"/>
    <mergeCell ref="H24:I24"/>
    <mergeCell ref="B25:C25"/>
    <mergeCell ref="F25:G25"/>
    <mergeCell ref="H25:I25"/>
    <mergeCell ref="A29:G29"/>
    <mergeCell ref="H29:I29"/>
    <mergeCell ref="B26:C26"/>
    <mergeCell ref="F26:G26"/>
    <mergeCell ref="H26:I26"/>
    <mergeCell ref="B27:C27"/>
    <mergeCell ref="F27:G27"/>
    <mergeCell ref="H27:I27"/>
    <mergeCell ref="A28:G28"/>
    <mergeCell ref="H28:I28"/>
    <mergeCell ref="A30:G30"/>
    <mergeCell ref="H30:I30"/>
    <mergeCell ref="A32:I32"/>
    <mergeCell ref="A33:I33"/>
    <mergeCell ref="A34:I34"/>
  </mergeCells>
  <pageMargins left="0.51181102362204722" right="0.51181102362204722" top="1.1811023622047245" bottom="1.1811023622047245" header="0.31496062992125984" footer="0.31496062992125984"/>
  <pageSetup paperSize="9" fitToHeight="0" orientation="portrait" r:id="rId1"/>
  <headerFooter>
    <oddHeader>&amp;C&amp;"Arial Black,Normal"&amp;24COREN-AM - &amp;16PLANILHA(S) DETALHADA DE CUSTO - VIGILANTE(S) ARMADO e AGENTE DE PORTARIA - 11/05/2020</oddHeader>
    <oddFooter>&amp;LRua Tapajós, 350 – Centro, Manaus-AM, 69010-150
Horário: 8h às 16 horas. 
Telefone: (92) 3232-9924
http://www.corenam.gov.br/
e-mail: selic@corenam.gov.br&amp;CPágina &amp;P de &amp;N&amp;RSETOR DE LICITAÇÕES E 
CONTRATOS - SELIC/COREN-AM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35"/>
  <sheetViews>
    <sheetView zoomScaleNormal="100" workbookViewId="0">
      <selection activeCell="A32" sqref="A32:I32"/>
    </sheetView>
  </sheetViews>
  <sheetFormatPr defaultRowHeight="14.5" x14ac:dyDescent="0.35"/>
  <cols>
    <col min="1" max="1" width="6" customWidth="1"/>
    <col min="2" max="4" width="9.1796875" customWidth="1"/>
    <col min="6" max="6" width="9.1796875" customWidth="1"/>
    <col min="7" max="7" width="9.26953125" bestFit="1" customWidth="1"/>
  </cols>
  <sheetData>
    <row r="1" spans="1:11" ht="15" customHeight="1" x14ac:dyDescent="0.35">
      <c r="A1" s="133" t="s">
        <v>149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</row>
    <row r="2" spans="1:11" ht="15" customHeight="1" x14ac:dyDescent="0.35">
      <c r="A2" s="136" t="s">
        <v>150</v>
      </c>
      <c r="B2" s="137"/>
      <c r="C2" s="137"/>
      <c r="D2" s="137"/>
      <c r="E2" s="137"/>
      <c r="F2" s="137"/>
      <c r="G2" s="137"/>
      <c r="H2" s="137"/>
      <c r="I2" s="137"/>
      <c r="J2" s="137"/>
      <c r="K2" s="138"/>
    </row>
    <row r="3" spans="1:11" ht="37.5" customHeight="1" x14ac:dyDescent="0.35">
      <c r="A3" s="48" t="s">
        <v>96</v>
      </c>
      <c r="B3" s="139" t="s">
        <v>98</v>
      </c>
      <c r="C3" s="139"/>
      <c r="D3" s="139"/>
      <c r="E3" s="139"/>
      <c r="F3" s="49" t="s">
        <v>99</v>
      </c>
      <c r="G3" s="49" t="s">
        <v>105</v>
      </c>
      <c r="H3" s="69" t="s">
        <v>103</v>
      </c>
      <c r="I3" s="69"/>
      <c r="J3" s="69" t="s">
        <v>104</v>
      </c>
      <c r="K3" s="69"/>
    </row>
    <row r="4" spans="1:11" ht="15" customHeight="1" x14ac:dyDescent="0.35">
      <c r="A4" s="6">
        <v>1</v>
      </c>
      <c r="B4" s="103" t="s">
        <v>141</v>
      </c>
      <c r="C4" s="103"/>
      <c r="D4" s="103"/>
      <c r="E4" s="77"/>
      <c r="F4" s="2" t="s">
        <v>106</v>
      </c>
      <c r="G4" s="2">
        <v>0.5</v>
      </c>
      <c r="H4" s="142">
        <v>3168.27</v>
      </c>
      <c r="I4" s="134"/>
      <c r="J4" s="134">
        <f t="shared" ref="J4:J13" si="0">G4*H4</f>
        <v>1584.135</v>
      </c>
      <c r="K4" s="134"/>
    </row>
    <row r="5" spans="1:11" ht="15" customHeight="1" x14ac:dyDescent="0.35">
      <c r="A5" s="6">
        <f>A4+1</f>
        <v>2</v>
      </c>
      <c r="B5" s="103" t="s">
        <v>142</v>
      </c>
      <c r="C5" s="103"/>
      <c r="D5" s="103"/>
      <c r="E5" s="77"/>
      <c r="F5" s="2" t="s">
        <v>106</v>
      </c>
      <c r="G5" s="2">
        <v>0.5</v>
      </c>
      <c r="H5" s="142">
        <v>51.39</v>
      </c>
      <c r="I5" s="134"/>
      <c r="J5" s="134">
        <f t="shared" si="0"/>
        <v>25.695</v>
      </c>
      <c r="K5" s="134"/>
    </row>
    <row r="6" spans="1:11" ht="15" customHeight="1" x14ac:dyDescent="0.35">
      <c r="A6" s="6">
        <f t="shared" ref="A6:A13" si="1">A5+1</f>
        <v>3</v>
      </c>
      <c r="B6" s="103" t="s">
        <v>143</v>
      </c>
      <c r="C6" s="103"/>
      <c r="D6" s="103"/>
      <c r="E6" s="77"/>
      <c r="F6" s="2" t="s">
        <v>106</v>
      </c>
      <c r="G6" s="2">
        <v>0.5</v>
      </c>
      <c r="H6" s="142">
        <v>18.329999999999998</v>
      </c>
      <c r="I6" s="134"/>
      <c r="J6" s="134">
        <f t="shared" si="0"/>
        <v>9.1649999999999991</v>
      </c>
      <c r="K6" s="134"/>
    </row>
    <row r="7" spans="1:11" ht="15" customHeight="1" x14ac:dyDescent="0.35">
      <c r="A7" s="6">
        <f t="shared" si="1"/>
        <v>4</v>
      </c>
      <c r="B7" s="103" t="s">
        <v>144</v>
      </c>
      <c r="C7" s="103"/>
      <c r="D7" s="103"/>
      <c r="E7" s="77"/>
      <c r="F7" s="2" t="s">
        <v>106</v>
      </c>
      <c r="G7" s="2">
        <v>0.5</v>
      </c>
      <c r="H7" s="142">
        <v>10.5</v>
      </c>
      <c r="I7" s="134"/>
      <c r="J7" s="134">
        <f t="shared" si="0"/>
        <v>5.25</v>
      </c>
      <c r="K7" s="134"/>
    </row>
    <row r="8" spans="1:11" ht="15" customHeight="1" x14ac:dyDescent="0.35">
      <c r="A8" s="6">
        <f t="shared" si="1"/>
        <v>5</v>
      </c>
      <c r="B8" s="103" t="s">
        <v>145</v>
      </c>
      <c r="C8" s="103"/>
      <c r="D8" s="103"/>
      <c r="E8" s="77"/>
      <c r="F8" s="2" t="s">
        <v>106</v>
      </c>
      <c r="G8" s="2">
        <v>0.5</v>
      </c>
      <c r="H8" s="142">
        <v>47.63</v>
      </c>
      <c r="I8" s="134"/>
      <c r="J8" s="134">
        <f t="shared" si="0"/>
        <v>23.815000000000001</v>
      </c>
      <c r="K8" s="134"/>
    </row>
    <row r="9" spans="1:11" ht="15" customHeight="1" x14ac:dyDescent="0.35">
      <c r="A9" s="6">
        <f t="shared" si="1"/>
        <v>6</v>
      </c>
      <c r="B9" s="103" t="s">
        <v>192</v>
      </c>
      <c r="C9" s="103"/>
      <c r="D9" s="103"/>
      <c r="E9" s="77"/>
      <c r="F9" s="2" t="s">
        <v>106</v>
      </c>
      <c r="G9" s="2">
        <v>0.5</v>
      </c>
      <c r="H9" s="142">
        <v>25</v>
      </c>
      <c r="I9" s="134"/>
      <c r="J9" s="134">
        <f t="shared" ref="J9:J11" si="2">G9*H9</f>
        <v>12.5</v>
      </c>
      <c r="K9" s="134"/>
    </row>
    <row r="10" spans="1:11" ht="15" customHeight="1" x14ac:dyDescent="0.35">
      <c r="A10" s="6">
        <f t="shared" si="1"/>
        <v>7</v>
      </c>
      <c r="B10" s="103" t="s">
        <v>193</v>
      </c>
      <c r="C10" s="103"/>
      <c r="D10" s="103"/>
      <c r="E10" s="77"/>
      <c r="F10" s="2" t="s">
        <v>106</v>
      </c>
      <c r="G10" s="2">
        <v>0.5</v>
      </c>
      <c r="H10" s="142">
        <v>5.65</v>
      </c>
      <c r="I10" s="134"/>
      <c r="J10" s="134">
        <f t="shared" si="2"/>
        <v>2.8250000000000002</v>
      </c>
      <c r="K10" s="134"/>
    </row>
    <row r="11" spans="1:11" ht="27" customHeight="1" x14ac:dyDescent="0.35">
      <c r="A11" s="6">
        <f t="shared" si="1"/>
        <v>8</v>
      </c>
      <c r="B11" s="103" t="s">
        <v>194</v>
      </c>
      <c r="C11" s="103"/>
      <c r="D11" s="103"/>
      <c r="E11" s="77"/>
      <c r="F11" s="2" t="s">
        <v>106</v>
      </c>
      <c r="G11" s="2">
        <v>0.5</v>
      </c>
      <c r="H11" s="142">
        <v>232.5</v>
      </c>
      <c r="I11" s="134"/>
      <c r="J11" s="134">
        <f t="shared" si="2"/>
        <v>116.25</v>
      </c>
      <c r="K11" s="134"/>
    </row>
    <row r="12" spans="1:11" ht="15" customHeight="1" x14ac:dyDescent="0.35">
      <c r="A12" s="6">
        <f t="shared" si="1"/>
        <v>9</v>
      </c>
      <c r="B12" s="103" t="s">
        <v>243</v>
      </c>
      <c r="C12" s="103"/>
      <c r="D12" s="103"/>
      <c r="E12" s="77"/>
      <c r="F12" s="2" t="s">
        <v>106</v>
      </c>
      <c r="G12" s="2">
        <v>1</v>
      </c>
      <c r="H12" s="142">
        <v>12.65</v>
      </c>
      <c r="I12" s="134"/>
      <c r="J12" s="134">
        <f t="shared" si="0"/>
        <v>12.65</v>
      </c>
      <c r="K12" s="134"/>
    </row>
    <row r="13" spans="1:11" ht="25.5" customHeight="1" x14ac:dyDescent="0.35">
      <c r="A13" s="6">
        <f t="shared" si="1"/>
        <v>10</v>
      </c>
      <c r="B13" s="103" t="s">
        <v>258</v>
      </c>
      <c r="C13" s="103"/>
      <c r="D13" s="103"/>
      <c r="E13" s="77"/>
      <c r="F13" s="2" t="s">
        <v>106</v>
      </c>
      <c r="G13" s="2">
        <v>1</v>
      </c>
      <c r="H13" s="142">
        <v>998.92</v>
      </c>
      <c r="I13" s="134"/>
      <c r="J13" s="134">
        <f t="shared" si="0"/>
        <v>998.92</v>
      </c>
      <c r="K13" s="134"/>
    </row>
    <row r="14" spans="1:11" x14ac:dyDescent="0.35">
      <c r="A14" s="147" t="s">
        <v>253</v>
      </c>
      <c r="B14" s="147"/>
      <c r="C14" s="147"/>
      <c r="D14" s="147"/>
      <c r="E14" s="147"/>
      <c r="F14" s="148"/>
      <c r="G14" s="148"/>
      <c r="H14" s="147"/>
      <c r="I14" s="147"/>
      <c r="J14" s="143">
        <f>SUM(J4:K13)</f>
        <v>2791.2049999999999</v>
      </c>
      <c r="K14" s="54"/>
    </row>
    <row r="15" spans="1:11" ht="27" customHeight="1" x14ac:dyDescent="0.35">
      <c r="A15" s="88" t="s">
        <v>254</v>
      </c>
      <c r="B15" s="88"/>
      <c r="C15" s="88"/>
      <c r="D15" s="88"/>
      <c r="E15" s="88"/>
      <c r="F15" s="88"/>
      <c r="G15" s="88"/>
      <c r="H15" s="88"/>
      <c r="I15" s="88"/>
      <c r="J15" s="143">
        <f>0.6*83*J14/10000</f>
        <v>13.9002009</v>
      </c>
      <c r="K15" s="54"/>
    </row>
    <row r="16" spans="1:11" ht="27" customHeight="1" x14ac:dyDescent="0.35">
      <c r="A16" s="88" t="s">
        <v>255</v>
      </c>
      <c r="B16" s="88"/>
      <c r="C16" s="88"/>
      <c r="D16" s="88"/>
      <c r="E16" s="88"/>
      <c r="F16" s="88"/>
      <c r="G16" s="88"/>
      <c r="H16" s="88"/>
      <c r="I16" s="88"/>
      <c r="J16" s="143">
        <f>J14*(1-0.2)/(12*8)</f>
        <v>23.260041666666666</v>
      </c>
      <c r="K16" s="143"/>
    </row>
    <row r="17" spans="1:11" ht="27" customHeight="1" x14ac:dyDescent="0.35">
      <c r="A17" s="88" t="s">
        <v>256</v>
      </c>
      <c r="B17" s="88"/>
      <c r="C17" s="88"/>
      <c r="D17" s="88"/>
      <c r="E17" s="88"/>
      <c r="F17" s="88"/>
      <c r="G17" s="88"/>
      <c r="H17" s="88"/>
      <c r="I17" s="88"/>
      <c r="J17" s="143">
        <f>J15+J16</f>
        <v>37.160242566666668</v>
      </c>
      <c r="K17" s="54"/>
    </row>
    <row r="18" spans="1:11" x14ac:dyDescent="0.35">
      <c r="A18" s="136" t="s">
        <v>151</v>
      </c>
      <c r="B18" s="137"/>
      <c r="C18" s="137"/>
      <c r="D18" s="137"/>
      <c r="E18" s="137"/>
      <c r="F18" s="137"/>
      <c r="G18" s="137"/>
      <c r="H18" s="137"/>
      <c r="I18" s="137"/>
      <c r="J18" s="137"/>
      <c r="K18" s="138"/>
    </row>
    <row r="19" spans="1:11" ht="37.5" x14ac:dyDescent="0.35">
      <c r="A19" s="48" t="s">
        <v>96</v>
      </c>
      <c r="B19" s="139" t="s">
        <v>98</v>
      </c>
      <c r="C19" s="139"/>
      <c r="D19" s="139"/>
      <c r="E19" s="139"/>
      <c r="F19" s="49" t="s">
        <v>99</v>
      </c>
      <c r="G19" s="49" t="s">
        <v>105</v>
      </c>
      <c r="H19" s="69" t="s">
        <v>103</v>
      </c>
      <c r="I19" s="69"/>
      <c r="J19" s="69" t="s">
        <v>104</v>
      </c>
      <c r="K19" s="69"/>
    </row>
    <row r="20" spans="1:11" ht="25" x14ac:dyDescent="0.35">
      <c r="A20" s="6">
        <v>1</v>
      </c>
      <c r="B20" s="103" t="s">
        <v>152</v>
      </c>
      <c r="C20" s="103"/>
      <c r="D20" s="103"/>
      <c r="E20" s="77"/>
      <c r="F20" s="2" t="s">
        <v>153</v>
      </c>
      <c r="G20" s="2">
        <v>8.3330000000000001E-2</v>
      </c>
      <c r="H20" s="142">
        <v>68.33</v>
      </c>
      <c r="I20" s="134"/>
      <c r="J20" s="134">
        <f>G20*H20</f>
        <v>5.6939389</v>
      </c>
      <c r="K20" s="134"/>
    </row>
    <row r="21" spans="1:11" ht="27" customHeight="1" x14ac:dyDescent="0.35">
      <c r="A21" s="88" t="s">
        <v>257</v>
      </c>
      <c r="B21" s="88"/>
      <c r="C21" s="88"/>
      <c r="D21" s="88"/>
      <c r="E21" s="88"/>
      <c r="F21" s="88"/>
      <c r="G21" s="88"/>
      <c r="H21" s="88"/>
      <c r="I21" s="88"/>
      <c r="J21" s="143">
        <f>J17+J20</f>
        <v>42.854181466666667</v>
      </c>
      <c r="K21" s="54"/>
    </row>
    <row r="22" spans="1:11" x14ac:dyDescent="0.35">
      <c r="A22" s="13"/>
      <c r="B22" s="13"/>
      <c r="C22" s="13"/>
      <c r="D22" s="13"/>
      <c r="E22" s="13"/>
      <c r="F22" s="13"/>
      <c r="G22" s="13"/>
      <c r="H22" s="13"/>
      <c r="I22" s="13"/>
      <c r="J22" s="12"/>
      <c r="K22" s="25"/>
    </row>
    <row r="23" spans="1:11" x14ac:dyDescent="0.35">
      <c r="A23" s="54" t="s">
        <v>155</v>
      </c>
      <c r="B23" s="54"/>
      <c r="C23" s="54"/>
      <c r="D23" s="54"/>
      <c r="E23" s="54"/>
      <c r="F23" s="54"/>
      <c r="G23" s="54"/>
      <c r="H23" s="54"/>
      <c r="I23" s="54"/>
      <c r="J23" s="12"/>
      <c r="K23" s="25"/>
    </row>
    <row r="24" spans="1:11" ht="30.75" customHeight="1" x14ac:dyDescent="0.35">
      <c r="A24" s="26">
        <v>1</v>
      </c>
      <c r="B24" s="144" t="s">
        <v>244</v>
      </c>
      <c r="C24" s="145"/>
      <c r="D24" s="145"/>
      <c r="E24" s="145"/>
      <c r="F24" s="145"/>
      <c r="G24" s="145"/>
      <c r="H24" s="145"/>
      <c r="I24" s="146"/>
      <c r="J24" s="12"/>
      <c r="K24" s="25"/>
    </row>
    <row r="25" spans="1:11" ht="28.5" customHeight="1" x14ac:dyDescent="0.35">
      <c r="A25" s="26">
        <v>2</v>
      </c>
      <c r="B25" s="144" t="s">
        <v>272</v>
      </c>
      <c r="C25" s="145"/>
      <c r="D25" s="145"/>
      <c r="E25" s="145"/>
      <c r="F25" s="145"/>
      <c r="G25" s="145"/>
      <c r="H25" s="145"/>
      <c r="I25" s="146"/>
      <c r="J25" s="12"/>
      <c r="K25" s="25"/>
    </row>
    <row r="26" spans="1:11" x14ac:dyDescent="0.3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</row>
    <row r="27" spans="1:11" x14ac:dyDescent="0.35">
      <c r="A27" s="54" t="s">
        <v>110</v>
      </c>
      <c r="B27" s="54"/>
      <c r="C27" s="54"/>
      <c r="D27" s="54"/>
      <c r="E27" s="54"/>
      <c r="F27" s="54"/>
      <c r="G27" s="54"/>
      <c r="H27" s="54"/>
      <c r="I27" s="54"/>
      <c r="J27" s="21"/>
      <c r="K27" s="21"/>
    </row>
    <row r="28" spans="1:11" x14ac:dyDescent="0.35">
      <c r="A28" s="58" t="s">
        <v>186</v>
      </c>
      <c r="B28" s="58"/>
      <c r="C28" s="58"/>
      <c r="D28" s="58"/>
      <c r="E28" s="58"/>
      <c r="F28" s="58"/>
      <c r="G28" s="58"/>
      <c r="H28" s="58"/>
      <c r="I28" s="58"/>
      <c r="J28" s="21"/>
      <c r="K28" s="21"/>
    </row>
    <row r="29" spans="1:11" x14ac:dyDescent="0.35">
      <c r="A29" s="58" t="s">
        <v>195</v>
      </c>
      <c r="B29" s="58"/>
      <c r="C29" s="58"/>
      <c r="D29" s="58"/>
      <c r="E29" s="58"/>
      <c r="F29" s="58"/>
      <c r="G29" s="58"/>
      <c r="H29" s="58"/>
      <c r="I29" s="58"/>
      <c r="J29" s="21"/>
      <c r="K29" s="21"/>
    </row>
    <row r="30" spans="1:11" x14ac:dyDescent="0.35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</row>
    <row r="31" spans="1:11" x14ac:dyDescent="0.35">
      <c r="A31" s="54" t="s">
        <v>146</v>
      </c>
      <c r="B31" s="54"/>
      <c r="C31" s="54"/>
      <c r="D31" s="54"/>
      <c r="E31" s="54"/>
      <c r="F31" s="54"/>
      <c r="G31" s="54"/>
      <c r="H31" s="54"/>
      <c r="I31" s="54"/>
      <c r="J31" s="21"/>
      <c r="K31" s="21"/>
    </row>
    <row r="32" spans="1:11" ht="100" customHeight="1" x14ac:dyDescent="0.35">
      <c r="A32" s="103" t="s">
        <v>206</v>
      </c>
      <c r="B32" s="135"/>
      <c r="C32" s="135"/>
      <c r="D32" s="135"/>
      <c r="E32" s="135"/>
      <c r="F32" s="135"/>
      <c r="G32" s="135"/>
      <c r="H32" s="135"/>
      <c r="I32" s="135"/>
      <c r="J32" s="21"/>
      <c r="K32" s="21"/>
    </row>
    <row r="33" spans="1:11" x14ac:dyDescent="0.35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</row>
    <row r="34" spans="1:11" x14ac:dyDescent="0.35">
      <c r="A34" s="54" t="s">
        <v>147</v>
      </c>
      <c r="B34" s="54"/>
      <c r="C34" s="54"/>
      <c r="D34" s="54"/>
      <c r="E34" s="54"/>
      <c r="F34" s="54"/>
      <c r="G34" s="54"/>
      <c r="H34" s="54"/>
      <c r="I34" s="54"/>
      <c r="J34" s="21"/>
      <c r="K34" s="21"/>
    </row>
    <row r="35" spans="1:11" ht="32" customHeight="1" x14ac:dyDescent="0.35">
      <c r="A35" s="103" t="s">
        <v>148</v>
      </c>
      <c r="B35" s="135"/>
      <c r="C35" s="135"/>
      <c r="D35" s="135"/>
      <c r="E35" s="135"/>
      <c r="F35" s="135"/>
      <c r="G35" s="135"/>
      <c r="H35" s="135"/>
      <c r="I35" s="135"/>
      <c r="J35" s="21"/>
      <c r="K35" s="21"/>
    </row>
  </sheetData>
  <mergeCells count="62">
    <mergeCell ref="B11:E11"/>
    <mergeCell ref="H11:I11"/>
    <mergeCell ref="J11:K11"/>
    <mergeCell ref="J16:K16"/>
    <mergeCell ref="A34:I34"/>
    <mergeCell ref="A29:I29"/>
    <mergeCell ref="H12:I12"/>
    <mergeCell ref="J12:K12"/>
    <mergeCell ref="A18:K18"/>
    <mergeCell ref="A16:I16"/>
    <mergeCell ref="A17:I17"/>
    <mergeCell ref="J17:K17"/>
    <mergeCell ref="B13:E13"/>
    <mergeCell ref="H13:I13"/>
    <mergeCell ref="A14:I14"/>
    <mergeCell ref="J14:K14"/>
    <mergeCell ref="B12:E12"/>
    <mergeCell ref="A15:I15"/>
    <mergeCell ref="J15:K15"/>
    <mergeCell ref="J13:K13"/>
    <mergeCell ref="A35:I35"/>
    <mergeCell ref="B24:I24"/>
    <mergeCell ref="B25:I25"/>
    <mergeCell ref="H19:I19"/>
    <mergeCell ref="J19:K19"/>
    <mergeCell ref="B20:E20"/>
    <mergeCell ref="H20:I20"/>
    <mergeCell ref="J20:K20"/>
    <mergeCell ref="J21:K21"/>
    <mergeCell ref="A31:I31"/>
    <mergeCell ref="A32:I32"/>
    <mergeCell ref="B19:E19"/>
    <mergeCell ref="A21:I21"/>
    <mergeCell ref="A23:I23"/>
    <mergeCell ref="A27:I27"/>
    <mergeCell ref="A28:I28"/>
    <mergeCell ref="J4:K4"/>
    <mergeCell ref="B5:E5"/>
    <mergeCell ref="H5:I5"/>
    <mergeCell ref="J5:K5"/>
    <mergeCell ref="B4:E4"/>
    <mergeCell ref="H4:I4"/>
    <mergeCell ref="B6:E6"/>
    <mergeCell ref="H6:I6"/>
    <mergeCell ref="J6:K6"/>
    <mergeCell ref="B7:E7"/>
    <mergeCell ref="H7:I7"/>
    <mergeCell ref="J7:K7"/>
    <mergeCell ref="A1:K1"/>
    <mergeCell ref="B3:E3"/>
    <mergeCell ref="H3:I3"/>
    <mergeCell ref="J3:K3"/>
    <mergeCell ref="A2:K2"/>
    <mergeCell ref="B8:E8"/>
    <mergeCell ref="H8:I8"/>
    <mergeCell ref="J8:K8"/>
    <mergeCell ref="H10:I10"/>
    <mergeCell ref="J10:K10"/>
    <mergeCell ref="B9:E9"/>
    <mergeCell ref="H9:I9"/>
    <mergeCell ref="J9:K9"/>
    <mergeCell ref="B10:E10"/>
  </mergeCells>
  <pageMargins left="0.51181102362204722" right="0.51181102362204722" top="1.1811023622047245" bottom="1.1811023622047245" header="0.31496062992125984" footer="0.31496062992125984"/>
  <pageSetup paperSize="9" scale="96" fitToHeight="0" orientation="portrait" r:id="rId1"/>
  <headerFooter>
    <oddHeader>&amp;C&amp;"Arial Black,Normal"&amp;24COREN-AM - &amp;16PLANILHA(S) DETALHADA DE CUSTO - VIGILANTE(S) ARMADO e AGENTE DE PORTARIA - 11/05/2020</oddHeader>
    <oddFooter>&amp;LRua Tapajós, 350 – Centro, Manaus-AM, 69010-150
Horário: 8h às 16 horas. 
Telefone: (92) 3232-9924
http://www.corenam.gov.br/
e-mail: selic@corenam.gov.br&amp;CPágina &amp;P de &amp;N&amp;RSETOR DE LICITAÇÕES E 
CONTRATOS - SELIC/COREN-AM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6" id="{26E877A8-F864-45A5-8BA1-B64A94158C68}">
            <x14:iconSet iconSet="4TrafficLights" custom="1">
              <x14:cfvo type="percent">
                <xm:f>0</xm:f>
              </x14:cfvo>
              <x14:cfvo type="percent">
                <xm:f>25</xm:f>
              </x14:cfvo>
              <x14:cfvo type="percent">
                <xm:f>50</xm:f>
              </x14:cfvo>
              <x14:cfvo type="percent">
                <xm:f>75</xm:f>
              </x14:cfvo>
              <x14:cfIcon iconSet="3TrafficLights1" iconId="1"/>
              <x14:cfIcon iconSet="3TrafficLights1" iconId="1"/>
              <x14:cfIcon iconSet="3TrafficLights1" iconId="1"/>
              <x14:cfIcon iconSet="3TrafficLights1" iconId="1"/>
            </x14:iconSet>
          </x14:cfRule>
          <xm:sqref>A24 G4:G8</xm:sqref>
        </x14:conditionalFormatting>
        <x14:conditionalFormatting xmlns:xm="http://schemas.microsoft.com/office/excel/2006/main">
          <x14:cfRule type="iconSet" priority="5" id="{EC47FDC9-A350-4F05-9AB4-F8DCE20BB1E8}">
            <x14:iconSet iconSet="4TrafficLights" custom="1">
              <x14:cfvo type="percent">
                <xm:f>0</xm:f>
              </x14:cfvo>
              <x14:cfvo type="percent">
                <xm:f>25</xm:f>
              </x14:cfvo>
              <x14:cfvo type="percent">
                <xm:f>50</xm:f>
              </x14:cfvo>
              <x14:cfvo type="percent">
                <xm:f>75</xm:f>
              </x14:cfvo>
              <x14:cfIcon iconSet="3TrafficLights1" iconId="2"/>
              <x14:cfIcon iconSet="3TrafficLights1" iconId="2"/>
              <x14:cfIcon iconSet="3TrafficLights1" iconId="2"/>
              <x14:cfIcon iconSet="3TrafficLights1" iconId="2"/>
            </x14:iconSet>
          </x14:cfRule>
          <xm:sqref>G20 A25</xm:sqref>
        </x14:conditionalFormatting>
        <x14:conditionalFormatting xmlns:xm="http://schemas.microsoft.com/office/excel/2006/main">
          <x14:cfRule type="iconSet" priority="3" id="{35D900F8-52AC-4EBD-89D8-76F7CDCAF6BD}">
            <x14:iconSet iconSet="4TrafficLights" custom="1">
              <x14:cfvo type="percent">
                <xm:f>0</xm:f>
              </x14:cfvo>
              <x14:cfvo type="percent">
                <xm:f>25</xm:f>
              </x14:cfvo>
              <x14:cfvo type="percent">
                <xm:f>50</xm:f>
              </x14:cfvo>
              <x14:cfvo type="percent">
                <xm:f>75</xm:f>
              </x14:cfvo>
              <x14:cfIcon iconSet="3TrafficLights1" iconId="1"/>
              <x14:cfIcon iconSet="3TrafficLights1" iconId="1"/>
              <x14:cfIcon iconSet="3TrafficLights1" iconId="1"/>
              <x14:cfIcon iconSet="3TrafficLights1" iconId="1"/>
            </x14:iconSet>
          </x14:cfRule>
          <xm:sqref>G9</xm:sqref>
        </x14:conditionalFormatting>
        <x14:conditionalFormatting xmlns:xm="http://schemas.microsoft.com/office/excel/2006/main">
          <x14:cfRule type="iconSet" priority="2" id="{DD4BA673-C249-42C0-931E-737B2EB8F82D}">
            <x14:iconSet iconSet="4TrafficLights" custom="1">
              <x14:cfvo type="percent">
                <xm:f>0</xm:f>
              </x14:cfvo>
              <x14:cfvo type="percent">
                <xm:f>25</xm:f>
              </x14:cfvo>
              <x14:cfvo type="percent">
                <xm:f>50</xm:f>
              </x14:cfvo>
              <x14:cfvo type="percent">
                <xm:f>75</xm:f>
              </x14:cfvo>
              <x14:cfIcon iconSet="3TrafficLights1" iconId="1"/>
              <x14:cfIcon iconSet="3TrafficLights1" iconId="1"/>
              <x14:cfIcon iconSet="3TrafficLights1" iconId="1"/>
              <x14:cfIcon iconSet="3TrafficLights1" iconId="1"/>
            </x14:iconSet>
          </x14:cfRule>
          <xm:sqref>G10</xm:sqref>
        </x14:conditionalFormatting>
        <x14:conditionalFormatting xmlns:xm="http://schemas.microsoft.com/office/excel/2006/main">
          <x14:cfRule type="iconSet" priority="1" id="{7E1EA896-79C1-47B3-8B0E-884DE2350092}">
            <x14:iconSet iconSet="4TrafficLights" custom="1">
              <x14:cfvo type="percent">
                <xm:f>0</xm:f>
              </x14:cfvo>
              <x14:cfvo type="percent">
                <xm:f>25</xm:f>
              </x14:cfvo>
              <x14:cfvo type="percent">
                <xm:f>50</xm:f>
              </x14:cfvo>
              <x14:cfvo type="percent">
                <xm:f>75</xm:f>
              </x14:cfvo>
              <x14:cfIcon iconSet="3TrafficLights1" iconId="1"/>
              <x14:cfIcon iconSet="3TrafficLights1" iconId="1"/>
              <x14:cfIcon iconSet="3TrafficLights1" iconId="1"/>
              <x14:cfIcon iconSet="3TrafficLights1" iconId="1"/>
            </x14:iconSet>
          </x14:cfRule>
          <xm:sqref>G11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21"/>
  <sheetViews>
    <sheetView zoomScaleNormal="100" workbookViewId="0">
      <selection activeCell="A18" sqref="A18:I18"/>
    </sheetView>
  </sheetViews>
  <sheetFormatPr defaultRowHeight="14.5" x14ac:dyDescent="0.35"/>
  <cols>
    <col min="1" max="1" width="6" customWidth="1"/>
    <col min="2" max="4" width="9.1796875" customWidth="1"/>
    <col min="6" max="6" width="9.1796875" customWidth="1"/>
  </cols>
  <sheetData>
    <row r="1" spans="1:11" ht="15" customHeight="1" x14ac:dyDescent="0.35">
      <c r="A1" s="133" t="s">
        <v>196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</row>
    <row r="2" spans="1:11" ht="15" customHeight="1" x14ac:dyDescent="0.35">
      <c r="A2" s="136" t="s">
        <v>150</v>
      </c>
      <c r="B2" s="137"/>
      <c r="C2" s="137"/>
      <c r="D2" s="137"/>
      <c r="E2" s="137"/>
      <c r="F2" s="137"/>
      <c r="G2" s="137"/>
      <c r="H2" s="137"/>
      <c r="I2" s="137"/>
      <c r="J2" s="137"/>
      <c r="K2" s="138"/>
    </row>
    <row r="3" spans="1:11" ht="37.5" customHeight="1" x14ac:dyDescent="0.35">
      <c r="A3" s="48" t="s">
        <v>96</v>
      </c>
      <c r="B3" s="69" t="s">
        <v>98</v>
      </c>
      <c r="C3" s="69"/>
      <c r="D3" s="69"/>
      <c r="E3" s="69"/>
      <c r="F3" s="49" t="s">
        <v>99</v>
      </c>
      <c r="G3" s="49" t="s">
        <v>105</v>
      </c>
      <c r="H3" s="69" t="s">
        <v>103</v>
      </c>
      <c r="I3" s="69"/>
      <c r="J3" s="69" t="s">
        <v>104</v>
      </c>
      <c r="K3" s="69"/>
    </row>
    <row r="4" spans="1:11" ht="15" customHeight="1" x14ac:dyDescent="0.35">
      <c r="A4" s="2">
        <v>1</v>
      </c>
      <c r="B4" s="103" t="s">
        <v>144</v>
      </c>
      <c r="C4" s="103"/>
      <c r="D4" s="103"/>
      <c r="E4" s="77"/>
      <c r="F4" s="2" t="s">
        <v>106</v>
      </c>
      <c r="G4" s="2">
        <v>1</v>
      </c>
      <c r="H4" s="152">
        <v>10.5</v>
      </c>
      <c r="I4" s="153"/>
      <c r="J4" s="153">
        <f t="shared" ref="J4:J5" si="0">G4*H4</f>
        <v>10.5</v>
      </c>
      <c r="K4" s="153"/>
    </row>
    <row r="5" spans="1:11" ht="15" customHeight="1" x14ac:dyDescent="0.35">
      <c r="A5" s="2">
        <f t="shared" ref="A5:A7" si="1">A4+1</f>
        <v>2</v>
      </c>
      <c r="B5" s="103" t="s">
        <v>145</v>
      </c>
      <c r="C5" s="103"/>
      <c r="D5" s="103"/>
      <c r="E5" s="77"/>
      <c r="F5" s="2" t="s">
        <v>106</v>
      </c>
      <c r="G5" s="2">
        <v>1</v>
      </c>
      <c r="H5" s="152">
        <v>47.63</v>
      </c>
      <c r="I5" s="153"/>
      <c r="J5" s="153">
        <f t="shared" si="0"/>
        <v>47.63</v>
      </c>
      <c r="K5" s="153"/>
    </row>
    <row r="6" spans="1:11" ht="22.5" customHeight="1" x14ac:dyDescent="0.35">
      <c r="A6" s="2">
        <f t="shared" si="1"/>
        <v>3</v>
      </c>
      <c r="B6" s="103" t="s">
        <v>194</v>
      </c>
      <c r="C6" s="103"/>
      <c r="D6" s="103"/>
      <c r="E6" s="77"/>
      <c r="F6" s="2" t="s">
        <v>106</v>
      </c>
      <c r="G6" s="2">
        <v>1</v>
      </c>
      <c r="H6" s="152">
        <v>232.5</v>
      </c>
      <c r="I6" s="153"/>
      <c r="J6" s="153">
        <f t="shared" ref="J6:J7" si="2">G6*H6</f>
        <v>232.5</v>
      </c>
      <c r="K6" s="153"/>
    </row>
    <row r="7" spans="1:11" ht="15" customHeight="1" x14ac:dyDescent="0.35">
      <c r="A7" s="2">
        <f t="shared" si="1"/>
        <v>4</v>
      </c>
      <c r="B7" s="103" t="s">
        <v>243</v>
      </c>
      <c r="C7" s="103"/>
      <c r="D7" s="103"/>
      <c r="E7" s="77"/>
      <c r="F7" s="2" t="s">
        <v>106</v>
      </c>
      <c r="G7" s="2">
        <v>1</v>
      </c>
      <c r="H7" s="152">
        <v>12.65</v>
      </c>
      <c r="I7" s="153"/>
      <c r="J7" s="153">
        <f t="shared" si="2"/>
        <v>12.65</v>
      </c>
      <c r="K7" s="153"/>
    </row>
    <row r="8" spans="1:11" x14ac:dyDescent="0.35">
      <c r="A8" s="150" t="s">
        <v>253</v>
      </c>
      <c r="B8" s="150"/>
      <c r="C8" s="150"/>
      <c r="D8" s="150"/>
      <c r="E8" s="150"/>
      <c r="F8" s="151"/>
      <c r="G8" s="151"/>
      <c r="H8" s="150"/>
      <c r="I8" s="150"/>
      <c r="J8" s="149">
        <f>SUM(J4:K7)</f>
        <v>303.27999999999997</v>
      </c>
      <c r="K8" s="126"/>
    </row>
    <row r="9" spans="1:11" ht="27" customHeight="1" x14ac:dyDescent="0.35">
      <c r="A9" s="88" t="s">
        <v>254</v>
      </c>
      <c r="B9" s="88"/>
      <c r="C9" s="88"/>
      <c r="D9" s="88"/>
      <c r="E9" s="88"/>
      <c r="F9" s="88"/>
      <c r="G9" s="88"/>
      <c r="H9" s="88"/>
      <c r="I9" s="88"/>
      <c r="J9" s="149">
        <f>0.6*83*J8/10000</f>
        <v>1.5103343999999996</v>
      </c>
      <c r="K9" s="126"/>
    </row>
    <row r="10" spans="1:11" ht="27" customHeight="1" x14ac:dyDescent="0.35">
      <c r="A10" s="88" t="s">
        <v>255</v>
      </c>
      <c r="B10" s="88"/>
      <c r="C10" s="88"/>
      <c r="D10" s="88"/>
      <c r="E10" s="88"/>
      <c r="F10" s="88"/>
      <c r="G10" s="88"/>
      <c r="H10" s="88"/>
      <c r="I10" s="88"/>
      <c r="J10" s="149">
        <f>J8*(1-0.2)/(12*8)</f>
        <v>2.5273333333333334</v>
      </c>
      <c r="K10" s="149"/>
    </row>
    <row r="11" spans="1:11" ht="27" customHeight="1" x14ac:dyDescent="0.35">
      <c r="A11" s="88" t="s">
        <v>256</v>
      </c>
      <c r="B11" s="88"/>
      <c r="C11" s="88"/>
      <c r="D11" s="88"/>
      <c r="E11" s="88"/>
      <c r="F11" s="88"/>
      <c r="G11" s="88"/>
      <c r="H11" s="88"/>
      <c r="I11" s="88"/>
      <c r="J11" s="149">
        <f>J9+J10</f>
        <v>4.0376677333333326</v>
      </c>
      <c r="K11" s="126"/>
    </row>
    <row r="12" spans="1:11" x14ac:dyDescent="0.35">
      <c r="A12" s="36"/>
      <c r="B12" s="36"/>
      <c r="C12" s="36"/>
      <c r="D12" s="36"/>
      <c r="E12" s="36"/>
      <c r="F12" s="36"/>
      <c r="G12" s="36"/>
      <c r="H12" s="36"/>
      <c r="I12" s="36"/>
      <c r="J12" s="38"/>
      <c r="K12" s="50"/>
    </row>
    <row r="13" spans="1:11" x14ac:dyDescent="0.35">
      <c r="A13" s="126" t="s">
        <v>110</v>
      </c>
      <c r="B13" s="126"/>
      <c r="C13" s="126"/>
      <c r="D13" s="126"/>
      <c r="E13" s="126"/>
      <c r="F13" s="126"/>
      <c r="G13" s="126"/>
      <c r="H13" s="126"/>
      <c r="I13" s="126"/>
      <c r="J13" s="28"/>
      <c r="K13" s="28"/>
    </row>
    <row r="14" spans="1:11" x14ac:dyDescent="0.35">
      <c r="A14" s="127" t="s">
        <v>186</v>
      </c>
      <c r="B14" s="127"/>
      <c r="C14" s="127"/>
      <c r="D14" s="127"/>
      <c r="E14" s="127"/>
      <c r="F14" s="127"/>
      <c r="G14" s="127"/>
      <c r="H14" s="127"/>
      <c r="I14" s="127"/>
      <c r="J14" s="28"/>
      <c r="K14" s="28"/>
    </row>
    <row r="15" spans="1:11" x14ac:dyDescent="0.35">
      <c r="A15" s="127" t="s">
        <v>195</v>
      </c>
      <c r="B15" s="127"/>
      <c r="C15" s="127"/>
      <c r="D15" s="127"/>
      <c r="E15" s="127"/>
      <c r="F15" s="127"/>
      <c r="G15" s="127"/>
      <c r="H15" s="127"/>
      <c r="I15" s="127"/>
      <c r="J15" s="28"/>
      <c r="K15" s="28"/>
    </row>
    <row r="16" spans="1:11" x14ac:dyDescent="0.35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</row>
    <row r="17" spans="1:11" x14ac:dyDescent="0.35">
      <c r="A17" s="126" t="s">
        <v>146</v>
      </c>
      <c r="B17" s="126"/>
      <c r="C17" s="126"/>
      <c r="D17" s="126"/>
      <c r="E17" s="126"/>
      <c r="F17" s="126"/>
      <c r="G17" s="126"/>
      <c r="H17" s="126"/>
      <c r="I17" s="126"/>
      <c r="J17" s="28"/>
      <c r="K17" s="28"/>
    </row>
    <row r="18" spans="1:11" ht="100" customHeight="1" x14ac:dyDescent="0.35">
      <c r="A18" s="103" t="s">
        <v>206</v>
      </c>
      <c r="B18" s="103"/>
      <c r="C18" s="103"/>
      <c r="D18" s="103"/>
      <c r="E18" s="103"/>
      <c r="F18" s="103"/>
      <c r="G18" s="103"/>
      <c r="H18" s="103"/>
      <c r="I18" s="103"/>
      <c r="J18" s="28"/>
      <c r="K18" s="28"/>
    </row>
    <row r="19" spans="1:11" x14ac:dyDescent="0.35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0" spans="1:11" x14ac:dyDescent="0.35">
      <c r="A20" s="126" t="s">
        <v>147</v>
      </c>
      <c r="B20" s="126"/>
      <c r="C20" s="126"/>
      <c r="D20" s="126"/>
      <c r="E20" s="126"/>
      <c r="F20" s="126"/>
      <c r="G20" s="126"/>
      <c r="H20" s="126"/>
      <c r="I20" s="126"/>
      <c r="J20" s="28"/>
      <c r="K20" s="28"/>
    </row>
    <row r="21" spans="1:11" ht="32" customHeight="1" x14ac:dyDescent="0.35">
      <c r="A21" s="103" t="s">
        <v>148</v>
      </c>
      <c r="B21" s="103"/>
      <c r="C21" s="103"/>
      <c r="D21" s="103"/>
      <c r="E21" s="103"/>
      <c r="F21" s="103"/>
      <c r="G21" s="103"/>
      <c r="H21" s="103"/>
      <c r="I21" s="103"/>
      <c r="J21" s="28"/>
      <c r="K21" s="28"/>
    </row>
  </sheetData>
  <mergeCells count="32">
    <mergeCell ref="B6:E6"/>
    <mergeCell ref="H6:I6"/>
    <mergeCell ref="J6:K6"/>
    <mergeCell ref="B7:E7"/>
    <mergeCell ref="H7:I7"/>
    <mergeCell ref="J7:K7"/>
    <mergeCell ref="A1:K1"/>
    <mergeCell ref="A2:K2"/>
    <mergeCell ref="B3:E3"/>
    <mergeCell ref="H3:I3"/>
    <mergeCell ref="J3:K3"/>
    <mergeCell ref="B4:E4"/>
    <mergeCell ref="H4:I4"/>
    <mergeCell ref="J4:K4"/>
    <mergeCell ref="B5:E5"/>
    <mergeCell ref="H5:I5"/>
    <mergeCell ref="J5:K5"/>
    <mergeCell ref="A10:I10"/>
    <mergeCell ref="J10:K10"/>
    <mergeCell ref="A11:I11"/>
    <mergeCell ref="J11:K11"/>
    <mergeCell ref="A8:I8"/>
    <mergeCell ref="J8:K8"/>
    <mergeCell ref="A9:I9"/>
    <mergeCell ref="J9:K9"/>
    <mergeCell ref="A20:I20"/>
    <mergeCell ref="A21:I21"/>
    <mergeCell ref="A13:I13"/>
    <mergeCell ref="A14:I14"/>
    <mergeCell ref="A17:I17"/>
    <mergeCell ref="A18:I18"/>
    <mergeCell ref="A15:I15"/>
  </mergeCells>
  <pageMargins left="0.51181102362204722" right="0.51181102362204722" top="1.1811023622047245" bottom="1.1811023622047245" header="0.31496062992125984" footer="0.31496062992125984"/>
  <pageSetup paperSize="9" scale="96" fitToHeight="0" orientation="portrait" r:id="rId1"/>
  <headerFooter>
    <oddHeader>&amp;C&amp;"Arial Black,Normal"&amp;24COREN-AM - &amp;16PLANILHA(S) DETALHADA DE CUSTO - VIGILANTE(S) ARMADO e AGENTE DE PORTARIA - 11/05/2020</oddHeader>
    <oddFooter>&amp;LRua Tapajós, 350 – Centro, Manaus-AM, 69010-150
Horário: 8h às 16 horas. 
Telefone: (92) 3232-9924
http://www.corenam.gov.br/
e-mail: selic@corenam.gov.br&amp;CPágina &amp;P de &amp;N&amp;RSETOR DE LICITAÇÕES E 
CONTRATOS - SELIC/COREN-AM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75069-BC30-461A-BE39-05735E74967F}">
  <sheetPr>
    <pageSetUpPr fitToPage="1"/>
  </sheetPr>
  <dimension ref="A1:M12"/>
  <sheetViews>
    <sheetView workbookViewId="0">
      <selection sqref="A1:M12"/>
    </sheetView>
  </sheetViews>
  <sheetFormatPr defaultRowHeight="14.5" x14ac:dyDescent="0.35"/>
  <sheetData>
    <row r="1" spans="1:13" x14ac:dyDescent="0.35">
      <c r="A1" s="91" t="s">
        <v>207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13" x14ac:dyDescent="0.35">
      <c r="A2" s="87" t="s">
        <v>208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</row>
    <row r="3" spans="1:13" ht="28" customHeight="1" x14ac:dyDescent="0.35">
      <c r="A3" s="133" t="s">
        <v>209</v>
      </c>
      <c r="B3" s="133"/>
      <c r="C3" s="133"/>
      <c r="D3" s="133" t="s">
        <v>210</v>
      </c>
      <c r="E3" s="133"/>
      <c r="F3" s="133"/>
      <c r="G3" s="133" t="s">
        <v>211</v>
      </c>
      <c r="H3" s="133"/>
      <c r="I3" s="133"/>
      <c r="J3" s="133" t="s">
        <v>212</v>
      </c>
      <c r="K3" s="133"/>
      <c r="L3" s="133" t="s">
        <v>213</v>
      </c>
      <c r="M3" s="133"/>
    </row>
    <row r="4" spans="1:13" x14ac:dyDescent="0.35">
      <c r="A4" s="77" t="s">
        <v>214</v>
      </c>
      <c r="B4" s="124"/>
      <c r="C4" s="78"/>
      <c r="D4" s="127">
        <v>1</v>
      </c>
      <c r="E4" s="127"/>
      <c r="F4" s="127"/>
      <c r="G4" s="127">
        <v>40</v>
      </c>
      <c r="H4" s="127"/>
      <c r="I4" s="127"/>
      <c r="J4" s="153">
        <f>'Ag. Port. Serv. Extraodinário'!D94</f>
        <v>15.571353933422895</v>
      </c>
      <c r="K4" s="127"/>
      <c r="L4" s="153">
        <f>D4*G4*J4</f>
        <v>622.85415733691582</v>
      </c>
      <c r="M4" s="153"/>
    </row>
    <row r="5" spans="1:13" x14ac:dyDescent="0.35">
      <c r="A5" s="88" t="s">
        <v>215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149">
        <f>SUM(L4)</f>
        <v>622.85415733691582</v>
      </c>
      <c r="M5" s="126"/>
    </row>
    <row r="6" spans="1:13" x14ac:dyDescent="0.35">
      <c r="A6" s="127"/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</row>
    <row r="7" spans="1:13" x14ac:dyDescent="0.35">
      <c r="A7" s="87" t="s">
        <v>216</v>
      </c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</row>
    <row r="8" spans="1:13" ht="29" customHeight="1" x14ac:dyDescent="0.35">
      <c r="A8" s="133" t="s">
        <v>209</v>
      </c>
      <c r="B8" s="133"/>
      <c r="C8" s="133"/>
      <c r="D8" s="133" t="s">
        <v>210</v>
      </c>
      <c r="E8" s="133"/>
      <c r="F8" s="133"/>
      <c r="G8" s="133" t="s">
        <v>211</v>
      </c>
      <c r="H8" s="133"/>
      <c r="I8" s="133"/>
      <c r="J8" s="133" t="s">
        <v>212</v>
      </c>
      <c r="K8" s="133"/>
      <c r="L8" s="133" t="s">
        <v>213</v>
      </c>
      <c r="M8" s="133"/>
    </row>
    <row r="9" spans="1:13" x14ac:dyDescent="0.35">
      <c r="A9" s="77" t="s">
        <v>214</v>
      </c>
      <c r="B9" s="124"/>
      <c r="C9" s="78"/>
      <c r="D9" s="127">
        <v>1</v>
      </c>
      <c r="E9" s="127"/>
      <c r="F9" s="127"/>
      <c r="G9" s="127">
        <v>20</v>
      </c>
      <c r="H9" s="127"/>
      <c r="I9" s="127"/>
      <c r="J9" s="153">
        <f>'Ag. Port. Serv. Extraodinário'!D95</f>
        <v>20.76180524456386</v>
      </c>
      <c r="K9" s="127"/>
      <c r="L9" s="153">
        <f>D9*G9*J9</f>
        <v>415.23610489127719</v>
      </c>
      <c r="M9" s="153"/>
    </row>
    <row r="10" spans="1:13" x14ac:dyDescent="0.35">
      <c r="A10" s="88" t="s">
        <v>217</v>
      </c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149">
        <f>SUM(L9)</f>
        <v>415.23610489127719</v>
      </c>
      <c r="M10" s="126"/>
    </row>
    <row r="11" spans="1:13" x14ac:dyDescent="0.35">
      <c r="A11" s="133" t="s">
        <v>218</v>
      </c>
      <c r="B11" s="133"/>
      <c r="C11" s="133"/>
      <c r="D11" s="133"/>
      <c r="E11" s="133"/>
      <c r="F11" s="133"/>
      <c r="G11" s="133"/>
      <c r="H11" s="133"/>
      <c r="I11" s="133"/>
      <c r="J11" s="133"/>
      <c r="K11" s="133"/>
      <c r="L11" s="154">
        <f>L5+L10</f>
        <v>1038.0902622281931</v>
      </c>
      <c r="M11" s="155"/>
    </row>
    <row r="12" spans="1:13" x14ac:dyDescent="0.35">
      <c r="A12" s="133" t="s">
        <v>259</v>
      </c>
      <c r="B12" s="133"/>
      <c r="C12" s="133"/>
      <c r="D12" s="133"/>
      <c r="E12" s="133"/>
      <c r="F12" s="133"/>
      <c r="G12" s="133"/>
      <c r="H12" s="133"/>
      <c r="I12" s="133"/>
      <c r="J12" s="133"/>
      <c r="K12" s="133"/>
      <c r="L12" s="154">
        <f>L11/12</f>
        <v>86.507521852349427</v>
      </c>
      <c r="M12" s="155"/>
    </row>
  </sheetData>
  <mergeCells count="32">
    <mergeCell ref="A11:K11"/>
    <mergeCell ref="L11:M11"/>
    <mergeCell ref="A12:K12"/>
    <mergeCell ref="L12:M12"/>
    <mergeCell ref="A9:C9"/>
    <mergeCell ref="D9:F9"/>
    <mergeCell ref="G9:I9"/>
    <mergeCell ref="J9:K9"/>
    <mergeCell ref="L9:M9"/>
    <mergeCell ref="A10:K10"/>
    <mergeCell ref="L10:M10"/>
    <mergeCell ref="A6:M6"/>
    <mergeCell ref="A7:M7"/>
    <mergeCell ref="A8:C8"/>
    <mergeCell ref="D8:F8"/>
    <mergeCell ref="G8:I8"/>
    <mergeCell ref="J8:K8"/>
    <mergeCell ref="L8:M8"/>
    <mergeCell ref="A5:K5"/>
    <mergeCell ref="L5:M5"/>
    <mergeCell ref="A1:M1"/>
    <mergeCell ref="A2:M2"/>
    <mergeCell ref="A3:C3"/>
    <mergeCell ref="D3:F3"/>
    <mergeCell ref="G3:I3"/>
    <mergeCell ref="J3:K3"/>
    <mergeCell ref="L3:M3"/>
    <mergeCell ref="A4:C4"/>
    <mergeCell ref="D4:F4"/>
    <mergeCell ref="G4:I4"/>
    <mergeCell ref="J4:K4"/>
    <mergeCell ref="L4:M4"/>
  </mergeCells>
  <pageMargins left="0.51181102362204722" right="0.51181102362204722" top="1.1811023622047245" bottom="1.1811023622047245" header="0.31496062992125984" footer="0.31496062992125984"/>
  <pageSetup paperSize="9" scale="81" fitToHeight="0" orientation="portrait" r:id="rId1"/>
  <headerFooter>
    <oddHeader>&amp;C&amp;"Arial Black,Normal"&amp;24COREN-AM - &amp;16PLANILHA(S) DETALHADA DE CUSTO - VIGILANTE(S) ARMADO e AGENTE DE PORTARIA - 11/05/2020</oddHeader>
    <oddFooter>&amp;LRua Tapajós, 350 – Centro, Manaus-AM, 69010-150
Horário: 8h às 16 horas. 
Telefone: (92) 3232-9924
http://www.corenam.gov.br/
e-mail: selic@corenam.gov.br&amp;CPágina &amp;P de &amp;N&amp;RSETOR DE LICITAÇÕES E 
CONTRATOS - SELIC/COREN-AM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24931-D76E-41C5-AA01-DB4813DB8E6D}">
  <sheetPr>
    <pageSetUpPr fitToPage="1"/>
  </sheetPr>
  <dimension ref="A1:Q95"/>
  <sheetViews>
    <sheetView zoomScaleNormal="100" workbookViewId="0">
      <selection sqref="A1:Q95"/>
    </sheetView>
  </sheetViews>
  <sheetFormatPr defaultRowHeight="14.5" x14ac:dyDescent="0.35"/>
  <cols>
    <col min="1" max="1" width="33.453125" customWidth="1"/>
    <col min="2" max="2" width="14.6328125" customWidth="1"/>
    <col min="3" max="3" width="10.81640625" customWidth="1"/>
    <col min="4" max="4" width="12.26953125" customWidth="1"/>
  </cols>
  <sheetData>
    <row r="1" spans="1:17" x14ac:dyDescent="0.35">
      <c r="A1" s="156" t="s">
        <v>219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</row>
    <row r="2" spans="1:17" x14ac:dyDescent="0.35">
      <c r="A2" s="14" t="s">
        <v>3</v>
      </c>
      <c r="B2" s="58" t="s">
        <v>200</v>
      </c>
      <c r="C2" s="58"/>
      <c r="D2" s="58"/>
      <c r="E2" s="58"/>
      <c r="F2" s="10"/>
      <c r="G2" s="157" t="s">
        <v>84</v>
      </c>
      <c r="H2" s="157"/>
      <c r="I2" s="157"/>
      <c r="J2" s="157"/>
      <c r="K2" s="157"/>
      <c r="L2" s="157"/>
      <c r="M2" s="157"/>
      <c r="N2" s="157"/>
      <c r="O2" s="157"/>
      <c r="P2" s="157"/>
      <c r="Q2" s="157"/>
    </row>
    <row r="3" spans="1:17" ht="15" customHeight="1" x14ac:dyDescent="0.35">
      <c r="A3" s="14" t="s">
        <v>107</v>
      </c>
      <c r="B3" s="58" t="s">
        <v>174</v>
      </c>
      <c r="C3" s="58"/>
      <c r="D3" s="58"/>
      <c r="E3" s="58"/>
      <c r="F3" s="10"/>
      <c r="G3" s="158" t="s">
        <v>271</v>
      </c>
      <c r="H3" s="158"/>
      <c r="I3" s="158"/>
      <c r="J3" s="158"/>
      <c r="K3" s="158"/>
      <c r="L3" s="158"/>
      <c r="M3" s="158"/>
      <c r="N3" s="158"/>
      <c r="O3" s="158"/>
      <c r="P3" s="158"/>
      <c r="Q3" s="158"/>
    </row>
    <row r="4" spans="1:17" ht="15" customHeight="1" x14ac:dyDescent="0.35">
      <c r="A4" s="15" t="s">
        <v>2</v>
      </c>
      <c r="B4" s="58" t="s">
        <v>1</v>
      </c>
      <c r="C4" s="58"/>
      <c r="D4" s="58"/>
      <c r="E4" s="58"/>
      <c r="F4" s="10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</row>
    <row r="5" spans="1:17" ht="26.5" x14ac:dyDescent="0.35">
      <c r="A5" s="16" t="s">
        <v>4</v>
      </c>
      <c r="B5" s="58">
        <v>1</v>
      </c>
      <c r="C5" s="58"/>
      <c r="D5" s="58"/>
      <c r="E5" s="58"/>
      <c r="F5" s="10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</row>
    <row r="6" spans="1:17" ht="39.5" x14ac:dyDescent="0.35">
      <c r="A6" s="16" t="s">
        <v>108</v>
      </c>
      <c r="B6" s="127" t="str">
        <f>'Agente de Portaria'!B6:E6</f>
        <v>CCT 2020/2021 - N.º Registro no MTE: AM000147/2020 - Data de Registro no MTE: 22/04/2020.</v>
      </c>
      <c r="C6" s="127"/>
      <c r="D6" s="127"/>
      <c r="E6" s="127"/>
      <c r="F6" s="10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</row>
    <row r="7" spans="1:17" ht="21" customHeight="1" x14ac:dyDescent="0.35">
      <c r="A7" s="17"/>
      <c r="B7" s="18"/>
      <c r="C7" s="10"/>
      <c r="D7" s="10"/>
      <c r="E7" s="10"/>
      <c r="F7" s="10"/>
      <c r="G7" s="158"/>
      <c r="H7" s="158"/>
      <c r="I7" s="158"/>
      <c r="J7" s="158"/>
      <c r="K7" s="158"/>
      <c r="L7" s="158"/>
      <c r="M7" s="158"/>
      <c r="N7" s="158"/>
      <c r="O7" s="158"/>
      <c r="P7" s="158"/>
      <c r="Q7" s="158"/>
    </row>
    <row r="8" spans="1:17" ht="21" customHeight="1" x14ac:dyDescent="0.35">
      <c r="A8" s="17"/>
      <c r="B8" s="18"/>
      <c r="C8" s="10"/>
      <c r="D8" s="10"/>
      <c r="E8" s="10"/>
      <c r="F8" s="10"/>
      <c r="G8" s="158"/>
      <c r="H8" s="158"/>
      <c r="I8" s="158"/>
      <c r="J8" s="158"/>
      <c r="K8" s="158"/>
      <c r="L8" s="158"/>
      <c r="M8" s="158"/>
      <c r="N8" s="158"/>
      <c r="O8" s="158"/>
      <c r="P8" s="158"/>
      <c r="Q8" s="158"/>
    </row>
    <row r="9" spans="1:17" x14ac:dyDescent="0.35">
      <c r="A9" s="19"/>
      <c r="B9" s="19"/>
      <c r="C9" s="19"/>
      <c r="D9" s="19"/>
      <c r="E9" s="20"/>
      <c r="F9" s="20"/>
      <c r="G9" s="20"/>
      <c r="H9" s="20"/>
      <c r="I9" s="20"/>
      <c r="J9" s="10"/>
      <c r="K9" s="10"/>
      <c r="L9" s="10"/>
      <c r="M9" s="10"/>
      <c r="N9" s="10"/>
      <c r="O9" s="10"/>
      <c r="P9" s="10"/>
      <c r="Q9" s="10"/>
    </row>
    <row r="10" spans="1:17" x14ac:dyDescent="0.35">
      <c r="A10" s="156" t="s">
        <v>5</v>
      </c>
      <c r="B10" s="156"/>
      <c r="C10" s="156"/>
      <c r="D10" s="156"/>
      <c r="E10" s="156"/>
      <c r="F10" s="156"/>
      <c r="G10" s="156"/>
      <c r="H10" s="156"/>
      <c r="I10" s="156"/>
      <c r="J10" s="156"/>
      <c r="K10" s="156"/>
      <c r="L10" s="156"/>
      <c r="M10" s="156"/>
      <c r="N10" s="156"/>
      <c r="O10" s="156"/>
      <c r="P10" s="156"/>
      <c r="Q10" s="156"/>
    </row>
    <row r="11" spans="1:17" x14ac:dyDescent="0.35">
      <c r="A11" s="84" t="s">
        <v>24</v>
      </c>
      <c r="B11" s="85"/>
      <c r="C11" s="85"/>
      <c r="D11" s="86"/>
      <c r="E11" s="90" t="s">
        <v>22</v>
      </c>
      <c r="F11" s="90"/>
      <c r="G11" s="90"/>
      <c r="H11" s="90"/>
      <c r="I11" s="90"/>
      <c r="J11" s="90"/>
      <c r="K11" s="89" t="s">
        <v>52</v>
      </c>
      <c r="L11" s="89"/>
      <c r="M11" s="89"/>
      <c r="N11" s="89"/>
      <c r="O11" s="89"/>
      <c r="P11" s="89"/>
      <c r="Q11" s="89"/>
    </row>
    <row r="12" spans="1:17" x14ac:dyDescent="0.35">
      <c r="A12" s="101" t="s">
        <v>6</v>
      </c>
      <c r="B12" s="102"/>
      <c r="C12" s="30" t="s">
        <v>7</v>
      </c>
      <c r="D12" s="30" t="s">
        <v>8</v>
      </c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89"/>
    </row>
    <row r="13" spans="1:17" ht="40.5" customHeight="1" x14ac:dyDescent="0.35">
      <c r="A13" s="77" t="s">
        <v>9</v>
      </c>
      <c r="B13" s="78"/>
      <c r="C13" s="2" t="s">
        <v>97</v>
      </c>
      <c r="D13" s="31">
        <f>'Agente de Portaria'!D13</f>
        <v>1139.5999999999999</v>
      </c>
      <c r="E13" s="69" t="str">
        <f>'Agente de Portaria'!E13:J13</f>
        <v>Cláusula Terceira, da CCT com Registro no MTE: AM000147/2020 - Data de Registro no MTE: 22/04/2020.</v>
      </c>
      <c r="F13" s="69"/>
      <c r="G13" s="69"/>
      <c r="H13" s="69"/>
      <c r="I13" s="69"/>
      <c r="J13" s="69"/>
      <c r="K13" s="127"/>
      <c r="L13" s="127"/>
      <c r="M13" s="127"/>
      <c r="N13" s="127"/>
      <c r="O13" s="127"/>
      <c r="P13" s="127"/>
      <c r="Q13" s="127"/>
    </row>
    <row r="14" spans="1:17" ht="36" customHeight="1" x14ac:dyDescent="0.35">
      <c r="A14" s="73" t="s">
        <v>176</v>
      </c>
      <c r="B14" s="74"/>
      <c r="C14" s="32"/>
      <c r="D14" s="33">
        <f>C14*D13/100</f>
        <v>0</v>
      </c>
      <c r="E14" s="69" t="s">
        <v>97</v>
      </c>
      <c r="F14" s="69"/>
      <c r="G14" s="69"/>
      <c r="H14" s="69"/>
      <c r="I14" s="69"/>
      <c r="J14" s="69"/>
      <c r="K14" s="127"/>
      <c r="L14" s="127"/>
      <c r="M14" s="127"/>
      <c r="N14" s="127"/>
      <c r="O14" s="127"/>
      <c r="P14" s="127"/>
      <c r="Q14" s="127"/>
    </row>
    <row r="15" spans="1:17" x14ac:dyDescent="0.35">
      <c r="A15" s="88" t="s">
        <v>35</v>
      </c>
      <c r="B15" s="88"/>
      <c r="C15" s="88"/>
      <c r="D15" s="34">
        <f>SUM(D13:D14)</f>
        <v>1139.5999999999999</v>
      </c>
      <c r="E15" s="28"/>
      <c r="F15" s="28"/>
      <c r="G15" s="28"/>
      <c r="H15" s="28"/>
      <c r="I15" s="28"/>
      <c r="J15" s="28"/>
      <c r="K15" s="10"/>
      <c r="L15" s="10"/>
      <c r="M15" s="10"/>
      <c r="N15" s="10"/>
      <c r="O15" s="10"/>
      <c r="P15" s="10"/>
      <c r="Q15" s="10"/>
    </row>
    <row r="16" spans="1:17" x14ac:dyDescent="0.35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10"/>
      <c r="L16" s="10"/>
      <c r="M16" s="10"/>
      <c r="N16" s="10"/>
      <c r="O16" s="10"/>
      <c r="P16" s="10"/>
      <c r="Q16" s="10"/>
    </row>
    <row r="17" spans="1:17" x14ac:dyDescent="0.35">
      <c r="A17" s="89" t="s">
        <v>23</v>
      </c>
      <c r="B17" s="89"/>
      <c r="C17" s="89"/>
      <c r="D17" s="89"/>
      <c r="E17" s="81" t="s">
        <v>22</v>
      </c>
      <c r="F17" s="82"/>
      <c r="G17" s="82"/>
      <c r="H17" s="82"/>
      <c r="I17" s="82"/>
      <c r="J17" s="83"/>
      <c r="K17" s="10"/>
      <c r="L17" s="10"/>
      <c r="M17" s="10"/>
      <c r="N17" s="10"/>
      <c r="O17" s="10"/>
      <c r="P17" s="10"/>
      <c r="Q17" s="10"/>
    </row>
    <row r="18" spans="1:17" x14ac:dyDescent="0.35">
      <c r="A18" s="87" t="s">
        <v>25</v>
      </c>
      <c r="B18" s="87"/>
      <c r="C18" s="30" t="s">
        <v>7</v>
      </c>
      <c r="D18" s="30" t="s">
        <v>8</v>
      </c>
      <c r="E18" s="84"/>
      <c r="F18" s="85"/>
      <c r="G18" s="85"/>
      <c r="H18" s="85"/>
      <c r="I18" s="85"/>
      <c r="J18" s="86"/>
      <c r="K18" s="10"/>
      <c r="L18" s="10"/>
      <c r="M18" s="10"/>
      <c r="N18" s="10"/>
      <c r="O18" s="10"/>
      <c r="P18" s="10"/>
      <c r="Q18" s="10"/>
    </row>
    <row r="19" spans="1:17" x14ac:dyDescent="0.35">
      <c r="A19" s="77" t="s">
        <v>26</v>
      </c>
      <c r="B19" s="78"/>
      <c r="C19" s="32">
        <v>20</v>
      </c>
      <c r="D19" s="33">
        <f t="shared" ref="D19:D26" si="0">TRUNC($D$15*C19/100,2)</f>
        <v>227.92</v>
      </c>
      <c r="E19" s="69" t="s">
        <v>12</v>
      </c>
      <c r="F19" s="69"/>
      <c r="G19" s="69"/>
      <c r="H19" s="69"/>
      <c r="I19" s="69"/>
      <c r="J19" s="69"/>
      <c r="K19" s="10"/>
      <c r="L19" s="10"/>
      <c r="M19" s="10"/>
      <c r="N19" s="10"/>
      <c r="O19" s="10"/>
      <c r="P19" s="10"/>
      <c r="Q19" s="10"/>
    </row>
    <row r="20" spans="1:17" x14ac:dyDescent="0.35">
      <c r="A20" s="77" t="s">
        <v>27</v>
      </c>
      <c r="B20" s="78"/>
      <c r="C20" s="32">
        <v>8</v>
      </c>
      <c r="D20" s="33">
        <f t="shared" si="0"/>
        <v>91.16</v>
      </c>
      <c r="E20" s="69" t="s">
        <v>13</v>
      </c>
      <c r="F20" s="69"/>
      <c r="G20" s="69"/>
      <c r="H20" s="69"/>
      <c r="I20" s="69"/>
      <c r="J20" s="69"/>
      <c r="K20" s="10"/>
      <c r="L20" s="10"/>
      <c r="M20" s="10"/>
      <c r="N20" s="10"/>
      <c r="O20" s="10"/>
      <c r="P20" s="10"/>
      <c r="Q20" s="10"/>
    </row>
    <row r="21" spans="1:17" x14ac:dyDescent="0.35">
      <c r="A21" s="77" t="s">
        <v>28</v>
      </c>
      <c r="B21" s="78"/>
      <c r="C21" s="32">
        <v>1.5</v>
      </c>
      <c r="D21" s="33">
        <f t="shared" si="0"/>
        <v>17.09</v>
      </c>
      <c r="E21" s="69" t="s">
        <v>14</v>
      </c>
      <c r="F21" s="69"/>
      <c r="G21" s="69"/>
      <c r="H21" s="69"/>
      <c r="I21" s="69"/>
      <c r="J21" s="69"/>
      <c r="K21" s="10"/>
      <c r="L21" s="10"/>
      <c r="M21" s="10"/>
      <c r="N21" s="10"/>
      <c r="O21" s="10"/>
      <c r="P21" s="10"/>
      <c r="Q21" s="10"/>
    </row>
    <row r="22" spans="1:17" ht="29" customHeight="1" x14ac:dyDescent="0.35">
      <c r="A22" s="77" t="s">
        <v>29</v>
      </c>
      <c r="B22" s="78"/>
      <c r="C22" s="32">
        <v>1</v>
      </c>
      <c r="D22" s="33">
        <f t="shared" si="0"/>
        <v>11.39</v>
      </c>
      <c r="E22" s="69" t="s">
        <v>15</v>
      </c>
      <c r="F22" s="69"/>
      <c r="G22" s="69"/>
      <c r="H22" s="69"/>
      <c r="I22" s="69"/>
      <c r="J22" s="69"/>
      <c r="K22" s="10"/>
      <c r="L22" s="10"/>
      <c r="M22" s="10"/>
      <c r="N22" s="10"/>
      <c r="O22" s="10"/>
      <c r="P22" s="10"/>
      <c r="Q22" s="10"/>
    </row>
    <row r="23" spans="1:17" ht="28.5" customHeight="1" x14ac:dyDescent="0.35">
      <c r="A23" s="77" t="s">
        <v>30</v>
      </c>
      <c r="B23" s="78"/>
      <c r="C23" s="32">
        <v>0.2</v>
      </c>
      <c r="D23" s="33">
        <f t="shared" si="0"/>
        <v>2.27</v>
      </c>
      <c r="E23" s="69" t="s">
        <v>16</v>
      </c>
      <c r="F23" s="69"/>
      <c r="G23" s="69"/>
      <c r="H23" s="69"/>
      <c r="I23" s="69"/>
      <c r="J23" s="69"/>
      <c r="K23" s="10"/>
      <c r="L23" s="10"/>
      <c r="M23" s="10"/>
      <c r="N23" s="10"/>
      <c r="O23" s="10"/>
      <c r="P23" s="10"/>
      <c r="Q23" s="10"/>
    </row>
    <row r="24" spans="1:17" x14ac:dyDescent="0.35">
      <c r="A24" s="77" t="s">
        <v>31</v>
      </c>
      <c r="B24" s="78"/>
      <c r="C24" s="32">
        <v>0.6</v>
      </c>
      <c r="D24" s="33">
        <f t="shared" si="0"/>
        <v>6.83</v>
      </c>
      <c r="E24" s="69" t="s">
        <v>17</v>
      </c>
      <c r="F24" s="69"/>
      <c r="G24" s="69"/>
      <c r="H24" s="69"/>
      <c r="I24" s="69"/>
      <c r="J24" s="69"/>
      <c r="K24" s="10"/>
      <c r="L24" s="10"/>
      <c r="M24" s="10"/>
      <c r="N24" s="10"/>
      <c r="O24" s="10"/>
      <c r="P24" s="10"/>
      <c r="Q24" s="10"/>
    </row>
    <row r="25" spans="1:17" x14ac:dyDescent="0.35">
      <c r="A25" s="73" t="s">
        <v>32</v>
      </c>
      <c r="B25" s="74"/>
      <c r="C25" s="32">
        <v>2.5</v>
      </c>
      <c r="D25" s="33">
        <f t="shared" si="0"/>
        <v>28.49</v>
      </c>
      <c r="E25" s="69" t="s">
        <v>18</v>
      </c>
      <c r="F25" s="69"/>
      <c r="G25" s="69"/>
      <c r="H25" s="69"/>
      <c r="I25" s="69"/>
      <c r="J25" s="69"/>
      <c r="K25" s="10"/>
      <c r="L25" s="10"/>
      <c r="M25" s="10"/>
      <c r="N25" s="10"/>
      <c r="O25" s="10"/>
      <c r="P25" s="10"/>
      <c r="Q25" s="10"/>
    </row>
    <row r="26" spans="1:17" ht="39.75" customHeight="1" x14ac:dyDescent="0.35">
      <c r="A26" s="73" t="s">
        <v>33</v>
      </c>
      <c r="B26" s="74"/>
      <c r="C26" s="32">
        <v>6</v>
      </c>
      <c r="D26" s="33">
        <f t="shared" si="0"/>
        <v>68.37</v>
      </c>
      <c r="E26" s="69" t="s">
        <v>19</v>
      </c>
      <c r="F26" s="69"/>
      <c r="G26" s="69"/>
      <c r="H26" s="69"/>
      <c r="I26" s="69"/>
      <c r="J26" s="69"/>
      <c r="K26" s="10"/>
      <c r="L26" s="10"/>
      <c r="M26" s="10"/>
      <c r="N26" s="10"/>
      <c r="O26" s="10"/>
      <c r="P26" s="10"/>
      <c r="Q26" s="10"/>
    </row>
    <row r="27" spans="1:17" x14ac:dyDescent="0.35">
      <c r="A27" s="79" t="s">
        <v>34</v>
      </c>
      <c r="B27" s="80"/>
      <c r="C27" s="35">
        <f>SUM(C19:C26)</f>
        <v>39.799999999999997</v>
      </c>
      <c r="D27" s="34">
        <f>SUM(D19:D26)</f>
        <v>453.51999999999992</v>
      </c>
      <c r="E27" s="28"/>
      <c r="F27" s="28"/>
      <c r="G27" s="28"/>
      <c r="H27" s="28"/>
      <c r="I27" s="28"/>
      <c r="J27" s="28"/>
      <c r="K27" s="10"/>
      <c r="L27" s="10"/>
      <c r="M27" s="10"/>
      <c r="N27" s="10"/>
      <c r="O27" s="10"/>
      <c r="P27" s="10"/>
      <c r="Q27" s="10"/>
    </row>
    <row r="28" spans="1:17" x14ac:dyDescent="0.35">
      <c r="A28" s="36"/>
      <c r="B28" s="36"/>
      <c r="C28" s="37"/>
      <c r="D28" s="38"/>
      <c r="E28" s="28"/>
      <c r="F28" s="28"/>
      <c r="G28" s="28"/>
      <c r="H28" s="28"/>
      <c r="I28" s="28"/>
      <c r="J28" s="28"/>
      <c r="K28" s="10"/>
      <c r="L28" s="10"/>
      <c r="M28" s="10"/>
      <c r="N28" s="10"/>
      <c r="O28" s="10"/>
      <c r="P28" s="10"/>
      <c r="Q28" s="10"/>
    </row>
    <row r="29" spans="1:17" x14ac:dyDescent="0.35">
      <c r="A29" s="87" t="s">
        <v>36</v>
      </c>
      <c r="B29" s="87"/>
      <c r="C29" s="30" t="s">
        <v>7</v>
      </c>
      <c r="D29" s="30" t="s">
        <v>8</v>
      </c>
      <c r="E29" s="89" t="s">
        <v>22</v>
      </c>
      <c r="F29" s="89"/>
      <c r="G29" s="89"/>
      <c r="H29" s="89"/>
      <c r="I29" s="89"/>
      <c r="J29" s="89"/>
      <c r="K29" s="157" t="s">
        <v>52</v>
      </c>
      <c r="L29" s="157"/>
      <c r="M29" s="157"/>
      <c r="N29" s="157"/>
      <c r="O29" s="157"/>
      <c r="P29" s="157"/>
      <c r="Q29" s="157"/>
    </row>
    <row r="30" spans="1:17" ht="35" customHeight="1" x14ac:dyDescent="0.35">
      <c r="A30" s="73" t="s">
        <v>37</v>
      </c>
      <c r="B30" s="74"/>
      <c r="C30" s="32">
        <v>8.3330000000000002</v>
      </c>
      <c r="D30" s="33">
        <f t="shared" ref="D30:D37" si="1">TRUNC($D$15*C30/100,2)</f>
        <v>94.96</v>
      </c>
      <c r="E30" s="69" t="s">
        <v>20</v>
      </c>
      <c r="F30" s="69"/>
      <c r="G30" s="69"/>
      <c r="H30" s="69"/>
      <c r="I30" s="69"/>
      <c r="J30" s="69"/>
      <c r="K30" s="129" t="s">
        <v>190</v>
      </c>
      <c r="L30" s="159"/>
      <c r="M30" s="159"/>
      <c r="N30" s="159"/>
      <c r="O30" s="159"/>
      <c r="P30" s="159"/>
      <c r="Q30" s="159"/>
    </row>
    <row r="31" spans="1:17" ht="35" customHeight="1" x14ac:dyDescent="0.35">
      <c r="A31" s="77" t="s">
        <v>38</v>
      </c>
      <c r="B31" s="78"/>
      <c r="C31" s="32">
        <v>8.3330000000000002</v>
      </c>
      <c r="D31" s="33">
        <f t="shared" si="1"/>
        <v>94.96</v>
      </c>
      <c r="E31" s="70" t="s">
        <v>21</v>
      </c>
      <c r="F31" s="71"/>
      <c r="G31" s="71"/>
      <c r="H31" s="71"/>
      <c r="I31" s="71"/>
      <c r="J31" s="72"/>
      <c r="K31" s="159"/>
      <c r="L31" s="159"/>
      <c r="M31" s="159"/>
      <c r="N31" s="159"/>
      <c r="O31" s="159"/>
      <c r="P31" s="159"/>
      <c r="Q31" s="159"/>
    </row>
    <row r="32" spans="1:17" ht="35" customHeight="1" x14ac:dyDescent="0.35">
      <c r="A32" s="77" t="s">
        <v>39</v>
      </c>
      <c r="B32" s="78"/>
      <c r="C32" s="32">
        <v>1.944</v>
      </c>
      <c r="D32" s="33">
        <f t="shared" si="1"/>
        <v>22.15</v>
      </c>
      <c r="E32" s="70" t="s">
        <v>46</v>
      </c>
      <c r="F32" s="71"/>
      <c r="G32" s="71"/>
      <c r="H32" s="71"/>
      <c r="I32" s="71"/>
      <c r="J32" s="72"/>
      <c r="K32" s="159"/>
      <c r="L32" s="159"/>
      <c r="M32" s="159"/>
      <c r="N32" s="159"/>
      <c r="O32" s="159"/>
      <c r="P32" s="159"/>
      <c r="Q32" s="159"/>
    </row>
    <row r="33" spans="1:17" ht="35" customHeight="1" x14ac:dyDescent="0.35">
      <c r="A33" s="77" t="s">
        <v>40</v>
      </c>
      <c r="B33" s="78"/>
      <c r="C33" s="32">
        <v>0.222</v>
      </c>
      <c r="D33" s="33">
        <f t="shared" si="1"/>
        <v>2.52</v>
      </c>
      <c r="E33" s="70" t="s">
        <v>47</v>
      </c>
      <c r="F33" s="71"/>
      <c r="G33" s="71"/>
      <c r="H33" s="71"/>
      <c r="I33" s="71"/>
      <c r="J33" s="72"/>
      <c r="K33" s="159"/>
      <c r="L33" s="159"/>
      <c r="M33" s="159"/>
      <c r="N33" s="159"/>
      <c r="O33" s="159"/>
      <c r="P33" s="159"/>
      <c r="Q33" s="159"/>
    </row>
    <row r="34" spans="1:17" ht="35" customHeight="1" x14ac:dyDescent="0.35">
      <c r="A34" s="77" t="s">
        <v>41</v>
      </c>
      <c r="B34" s="78"/>
      <c r="C34" s="32">
        <v>5.0999999999999997E-2</v>
      </c>
      <c r="D34" s="33">
        <f t="shared" si="1"/>
        <v>0.57999999999999996</v>
      </c>
      <c r="E34" s="70" t="s">
        <v>48</v>
      </c>
      <c r="F34" s="71"/>
      <c r="G34" s="71"/>
      <c r="H34" s="71"/>
      <c r="I34" s="71"/>
      <c r="J34" s="72"/>
      <c r="K34" s="159"/>
      <c r="L34" s="159"/>
      <c r="M34" s="159"/>
      <c r="N34" s="159"/>
      <c r="O34" s="159"/>
      <c r="P34" s="159"/>
      <c r="Q34" s="159"/>
    </row>
    <row r="35" spans="1:17" ht="35" customHeight="1" x14ac:dyDescent="0.35">
      <c r="A35" s="77" t="s">
        <v>42</v>
      </c>
      <c r="B35" s="78"/>
      <c r="C35" s="32">
        <v>0.41499999999999998</v>
      </c>
      <c r="D35" s="33">
        <f t="shared" si="1"/>
        <v>4.72</v>
      </c>
      <c r="E35" s="70" t="s">
        <v>49</v>
      </c>
      <c r="F35" s="71"/>
      <c r="G35" s="71"/>
      <c r="H35" s="71"/>
      <c r="I35" s="71"/>
      <c r="J35" s="72"/>
      <c r="K35" s="159"/>
      <c r="L35" s="159"/>
      <c r="M35" s="159"/>
      <c r="N35" s="159"/>
      <c r="O35" s="159"/>
      <c r="P35" s="159"/>
      <c r="Q35" s="159"/>
    </row>
    <row r="36" spans="1:17" ht="35" customHeight="1" x14ac:dyDescent="0.35">
      <c r="A36" s="77" t="s">
        <v>43</v>
      </c>
      <c r="B36" s="78"/>
      <c r="C36" s="32">
        <v>3.9E-2</v>
      </c>
      <c r="D36" s="33">
        <f t="shared" si="1"/>
        <v>0.44</v>
      </c>
      <c r="E36" s="70" t="s">
        <v>50</v>
      </c>
      <c r="F36" s="71"/>
      <c r="G36" s="71"/>
      <c r="H36" s="71"/>
      <c r="I36" s="71"/>
      <c r="J36" s="72"/>
      <c r="K36" s="159"/>
      <c r="L36" s="159"/>
      <c r="M36" s="159"/>
      <c r="N36" s="159"/>
      <c r="O36" s="159"/>
      <c r="P36" s="159"/>
      <c r="Q36" s="159"/>
    </row>
    <row r="37" spans="1:17" ht="35" customHeight="1" x14ac:dyDescent="0.35">
      <c r="A37" s="77" t="s">
        <v>44</v>
      </c>
      <c r="B37" s="78"/>
      <c r="C37" s="32">
        <v>0.02</v>
      </c>
      <c r="D37" s="33">
        <f t="shared" si="1"/>
        <v>0.22</v>
      </c>
      <c r="E37" s="70" t="s">
        <v>51</v>
      </c>
      <c r="F37" s="71"/>
      <c r="G37" s="71"/>
      <c r="H37" s="71"/>
      <c r="I37" s="71"/>
      <c r="J37" s="72"/>
      <c r="K37" s="159"/>
      <c r="L37" s="159"/>
      <c r="M37" s="159"/>
      <c r="N37" s="159"/>
      <c r="O37" s="159"/>
      <c r="P37" s="159"/>
      <c r="Q37" s="159"/>
    </row>
    <row r="38" spans="1:17" x14ac:dyDescent="0.35">
      <c r="A38" s="79" t="s">
        <v>45</v>
      </c>
      <c r="B38" s="80"/>
      <c r="C38" s="35">
        <f>SUM(C30:C37)</f>
        <v>19.356999999999999</v>
      </c>
      <c r="D38" s="34">
        <f>SUM(D30:D37)</f>
        <v>220.55</v>
      </c>
      <c r="E38" s="28"/>
      <c r="F38" s="28"/>
      <c r="G38" s="28"/>
      <c r="H38" s="28"/>
      <c r="I38" s="28"/>
      <c r="J38" s="28"/>
      <c r="K38" s="10"/>
      <c r="L38" s="10"/>
      <c r="M38" s="10"/>
      <c r="N38" s="10"/>
      <c r="O38" s="10"/>
      <c r="P38" s="10"/>
      <c r="Q38" s="10"/>
    </row>
    <row r="39" spans="1:17" x14ac:dyDescent="0.35">
      <c r="A39" s="36"/>
      <c r="B39" s="36"/>
      <c r="C39" s="39"/>
      <c r="D39" s="38"/>
      <c r="E39" s="28"/>
      <c r="F39" s="28"/>
      <c r="G39" s="28"/>
      <c r="H39" s="28"/>
      <c r="I39" s="28"/>
      <c r="J39" s="28"/>
      <c r="K39" s="10"/>
      <c r="L39" s="10"/>
      <c r="M39" s="10"/>
      <c r="N39" s="10"/>
      <c r="O39" s="10"/>
      <c r="P39" s="10"/>
      <c r="Q39" s="10"/>
    </row>
    <row r="40" spans="1:17" x14ac:dyDescent="0.35">
      <c r="A40" s="75" t="s">
        <v>53</v>
      </c>
      <c r="B40" s="76"/>
      <c r="C40" s="30" t="s">
        <v>7</v>
      </c>
      <c r="D40" s="30" t="s">
        <v>8</v>
      </c>
      <c r="E40" s="89" t="s">
        <v>22</v>
      </c>
      <c r="F40" s="89"/>
      <c r="G40" s="89"/>
      <c r="H40" s="89"/>
      <c r="I40" s="89"/>
      <c r="J40" s="89"/>
      <c r="K40" s="157" t="s">
        <v>52</v>
      </c>
      <c r="L40" s="157"/>
      <c r="M40" s="157"/>
      <c r="N40" s="157"/>
      <c r="O40" s="157"/>
      <c r="P40" s="157"/>
      <c r="Q40" s="157"/>
    </row>
    <row r="41" spans="1:17" ht="23.15" customHeight="1" x14ac:dyDescent="0.35">
      <c r="A41" s="77" t="s">
        <v>54</v>
      </c>
      <c r="B41" s="78"/>
      <c r="C41" s="32">
        <v>0.41699999999999998</v>
      </c>
      <c r="D41" s="33">
        <f>TRUNC($D$15*C41/100,2)</f>
        <v>4.75</v>
      </c>
      <c r="E41" s="69" t="s">
        <v>58</v>
      </c>
      <c r="F41" s="69"/>
      <c r="G41" s="69"/>
      <c r="H41" s="69"/>
      <c r="I41" s="69"/>
      <c r="J41" s="69"/>
      <c r="K41" s="129" t="s">
        <v>269</v>
      </c>
      <c r="L41" s="159"/>
      <c r="M41" s="159"/>
      <c r="N41" s="159"/>
      <c r="O41" s="159"/>
      <c r="P41" s="159"/>
      <c r="Q41" s="159"/>
    </row>
    <row r="42" spans="1:17" ht="23.15" customHeight="1" x14ac:dyDescent="0.35">
      <c r="A42" s="77" t="s">
        <v>55</v>
      </c>
      <c r="B42" s="78"/>
      <c r="C42" s="32">
        <v>0.28599999999999998</v>
      </c>
      <c r="D42" s="33">
        <f>TRUNC($D$15*C42/100,2)</f>
        <v>3.25</v>
      </c>
      <c r="E42" s="69" t="s">
        <v>59</v>
      </c>
      <c r="F42" s="69"/>
      <c r="G42" s="69"/>
      <c r="H42" s="69"/>
      <c r="I42" s="69"/>
      <c r="J42" s="69"/>
      <c r="K42" s="159"/>
      <c r="L42" s="159"/>
      <c r="M42" s="159"/>
      <c r="N42" s="159"/>
      <c r="O42" s="159"/>
      <c r="P42" s="159"/>
      <c r="Q42" s="159"/>
    </row>
    <row r="43" spans="1:17" ht="23.15" customHeight="1" x14ac:dyDescent="0.35">
      <c r="A43" s="77" t="s">
        <v>56</v>
      </c>
      <c r="B43" s="78"/>
      <c r="C43" s="32">
        <v>3.2</v>
      </c>
      <c r="D43" s="33">
        <f>TRUNC($D$15*C43/100,2)</f>
        <v>36.46</v>
      </c>
      <c r="E43" s="69" t="s">
        <v>60</v>
      </c>
      <c r="F43" s="69"/>
      <c r="G43" s="69"/>
      <c r="H43" s="69"/>
      <c r="I43" s="69"/>
      <c r="J43" s="69"/>
      <c r="K43" s="159"/>
      <c r="L43" s="159"/>
      <c r="M43" s="159"/>
      <c r="N43" s="159"/>
      <c r="O43" s="159"/>
      <c r="P43" s="159"/>
      <c r="Q43" s="159"/>
    </row>
    <row r="44" spans="1:17" ht="23.15" customHeight="1" x14ac:dyDescent="0.35">
      <c r="A44" s="77" t="s">
        <v>187</v>
      </c>
      <c r="B44" s="78"/>
      <c r="C44" s="32">
        <v>2.778</v>
      </c>
      <c r="D44" s="33">
        <f>TRUNC($D$15*C44/100,2)</f>
        <v>31.65</v>
      </c>
      <c r="E44" s="69" t="s">
        <v>61</v>
      </c>
      <c r="F44" s="69"/>
      <c r="G44" s="69"/>
      <c r="H44" s="69"/>
      <c r="I44" s="69"/>
      <c r="J44" s="69"/>
      <c r="K44" s="159"/>
      <c r="L44" s="159"/>
      <c r="M44" s="159"/>
      <c r="N44" s="159"/>
      <c r="O44" s="159"/>
      <c r="P44" s="159"/>
      <c r="Q44" s="159"/>
    </row>
    <row r="45" spans="1:17" ht="23.15" customHeight="1" x14ac:dyDescent="0.35">
      <c r="A45" s="77" t="s">
        <v>188</v>
      </c>
      <c r="B45" s="78"/>
      <c r="C45" s="32">
        <v>1.2999999999999999E-2</v>
      </c>
      <c r="D45" s="33">
        <f>TRUNC($D$15*C45/100,2)</f>
        <v>0.14000000000000001</v>
      </c>
      <c r="E45" s="69" t="s">
        <v>62</v>
      </c>
      <c r="F45" s="69"/>
      <c r="G45" s="69"/>
      <c r="H45" s="69"/>
      <c r="I45" s="69"/>
      <c r="J45" s="69"/>
      <c r="K45" s="159"/>
      <c r="L45" s="159"/>
      <c r="M45" s="159"/>
      <c r="N45" s="159"/>
      <c r="O45" s="159"/>
      <c r="P45" s="159"/>
      <c r="Q45" s="159"/>
    </row>
    <row r="46" spans="1:17" x14ac:dyDescent="0.35">
      <c r="A46" s="79" t="s">
        <v>57</v>
      </c>
      <c r="B46" s="80"/>
      <c r="C46" s="35">
        <f>SUM(C41:C45)</f>
        <v>6.694</v>
      </c>
      <c r="D46" s="34">
        <f>SUM(D41:D45)</f>
        <v>76.25</v>
      </c>
      <c r="E46" s="28"/>
      <c r="F46" s="28"/>
      <c r="G46" s="28"/>
      <c r="H46" s="28"/>
      <c r="I46" s="28"/>
      <c r="J46" s="28"/>
      <c r="K46" s="10"/>
      <c r="L46" s="10"/>
      <c r="M46" s="10"/>
      <c r="N46" s="10"/>
      <c r="O46" s="10"/>
      <c r="P46" s="10"/>
      <c r="Q46" s="10"/>
    </row>
    <row r="47" spans="1:17" x14ac:dyDescent="0.35">
      <c r="A47" s="36"/>
      <c r="B47" s="36"/>
      <c r="C47" s="39"/>
      <c r="D47" s="38"/>
      <c r="E47" s="28"/>
      <c r="F47" s="28"/>
      <c r="G47" s="28"/>
      <c r="H47" s="28"/>
      <c r="I47" s="28"/>
      <c r="J47" s="28"/>
      <c r="K47" s="10"/>
      <c r="L47" s="10"/>
      <c r="M47" s="10"/>
      <c r="N47" s="10"/>
      <c r="O47" s="10"/>
      <c r="P47" s="10"/>
      <c r="Q47" s="10"/>
    </row>
    <row r="48" spans="1:17" x14ac:dyDescent="0.35">
      <c r="A48" s="75" t="s">
        <v>63</v>
      </c>
      <c r="B48" s="76"/>
      <c r="C48" s="30" t="s">
        <v>7</v>
      </c>
      <c r="D48" s="30" t="s">
        <v>8</v>
      </c>
      <c r="E48" s="89" t="s">
        <v>22</v>
      </c>
      <c r="F48" s="89"/>
      <c r="G48" s="89"/>
      <c r="H48" s="89"/>
      <c r="I48" s="89"/>
      <c r="J48" s="89"/>
      <c r="K48" s="10"/>
      <c r="L48" s="10"/>
      <c r="M48" s="10"/>
      <c r="N48" s="10"/>
      <c r="O48" s="10"/>
      <c r="P48" s="10"/>
      <c r="Q48" s="10"/>
    </row>
    <row r="49" spans="1:17" x14ac:dyDescent="0.35">
      <c r="A49" s="77" t="s">
        <v>64</v>
      </c>
      <c r="B49" s="78"/>
      <c r="C49" s="32">
        <f>ROUND((C27/100)*(C38/100)*100,3)</f>
        <v>7.7039999999999997</v>
      </c>
      <c r="D49" s="33">
        <f>TRUNC($D$15*C49/100,2)</f>
        <v>87.79</v>
      </c>
      <c r="E49" s="69" t="s">
        <v>267</v>
      </c>
      <c r="F49" s="69"/>
      <c r="G49" s="69"/>
      <c r="H49" s="69"/>
      <c r="I49" s="69"/>
      <c r="J49" s="69"/>
      <c r="K49" s="10"/>
      <c r="L49" s="10"/>
      <c r="M49" s="10"/>
      <c r="N49" s="10"/>
      <c r="O49" s="10"/>
      <c r="P49" s="10"/>
      <c r="Q49" s="10"/>
    </row>
    <row r="50" spans="1:17" x14ac:dyDescent="0.35">
      <c r="A50" s="79" t="s">
        <v>65</v>
      </c>
      <c r="B50" s="80"/>
      <c r="C50" s="35">
        <f>SUM(C49)</f>
        <v>7.7039999999999997</v>
      </c>
      <c r="D50" s="34">
        <f>SUM(D49)</f>
        <v>87.79</v>
      </c>
      <c r="E50" s="28"/>
      <c r="F50" s="28"/>
      <c r="G50" s="28"/>
      <c r="H50" s="28"/>
      <c r="I50" s="28"/>
      <c r="J50" s="28"/>
      <c r="K50" s="10"/>
      <c r="L50" s="10"/>
      <c r="M50" s="10"/>
      <c r="N50" s="10"/>
      <c r="O50" s="10"/>
      <c r="P50" s="10"/>
      <c r="Q50" s="10"/>
    </row>
    <row r="51" spans="1:17" x14ac:dyDescent="0.35">
      <c r="A51" s="36"/>
      <c r="B51" s="36"/>
      <c r="C51" s="39"/>
      <c r="D51" s="38"/>
      <c r="E51" s="28"/>
      <c r="F51" s="28"/>
      <c r="G51" s="28"/>
      <c r="H51" s="28"/>
      <c r="I51" s="28"/>
      <c r="J51" s="28"/>
      <c r="K51" s="10"/>
      <c r="L51" s="10"/>
      <c r="M51" s="10"/>
      <c r="N51" s="10"/>
      <c r="O51" s="10"/>
      <c r="P51" s="10"/>
      <c r="Q51" s="10"/>
    </row>
    <row r="52" spans="1:17" x14ac:dyDescent="0.35">
      <c r="A52" s="75" t="s">
        <v>66</v>
      </c>
      <c r="B52" s="76"/>
      <c r="C52" s="30" t="s">
        <v>7</v>
      </c>
      <c r="D52" s="30" t="s">
        <v>8</v>
      </c>
      <c r="E52" s="89" t="s">
        <v>22</v>
      </c>
      <c r="F52" s="89"/>
      <c r="G52" s="89"/>
      <c r="H52" s="89"/>
      <c r="I52" s="89"/>
      <c r="J52" s="89"/>
      <c r="K52" s="157" t="s">
        <v>52</v>
      </c>
      <c r="L52" s="157"/>
      <c r="M52" s="157"/>
      <c r="N52" s="157"/>
      <c r="O52" s="157"/>
      <c r="P52" s="157"/>
      <c r="Q52" s="157"/>
    </row>
    <row r="53" spans="1:17" ht="28.5" customHeight="1" x14ac:dyDescent="0.35">
      <c r="A53" s="77" t="s">
        <v>67</v>
      </c>
      <c r="B53" s="78"/>
      <c r="C53" s="32">
        <v>3.3000000000000002E-2</v>
      </c>
      <c r="D53" s="33">
        <f>TRUNC($D$15*C53/100,2)</f>
        <v>0.37</v>
      </c>
      <c r="E53" s="69" t="s">
        <v>71</v>
      </c>
      <c r="F53" s="69"/>
      <c r="G53" s="69"/>
      <c r="H53" s="69"/>
      <c r="I53" s="69"/>
      <c r="J53" s="69"/>
      <c r="K53" s="129" t="s">
        <v>72</v>
      </c>
      <c r="L53" s="129"/>
      <c r="M53" s="129"/>
      <c r="N53" s="129"/>
      <c r="O53" s="129"/>
      <c r="P53" s="129"/>
      <c r="Q53" s="129"/>
    </row>
    <row r="54" spans="1:17" ht="37" customHeight="1" x14ac:dyDescent="0.35">
      <c r="A54" s="77" t="s">
        <v>68</v>
      </c>
      <c r="B54" s="78"/>
      <c r="C54" s="32">
        <v>4.0000000000000001E-3</v>
      </c>
      <c r="D54" s="33">
        <f>TRUNC($D$15*C54/100,2)</f>
        <v>0.04</v>
      </c>
      <c r="E54" s="69" t="s">
        <v>199</v>
      </c>
      <c r="F54" s="69"/>
      <c r="G54" s="69"/>
      <c r="H54" s="69"/>
      <c r="I54" s="69"/>
      <c r="J54" s="69"/>
      <c r="K54" s="129"/>
      <c r="L54" s="129"/>
      <c r="M54" s="129"/>
      <c r="N54" s="129"/>
      <c r="O54" s="129"/>
      <c r="P54" s="129"/>
      <c r="Q54" s="129"/>
    </row>
    <row r="55" spans="1:17" ht="30.75" customHeight="1" x14ac:dyDescent="0.35">
      <c r="A55" s="77" t="s">
        <v>69</v>
      </c>
      <c r="B55" s="78"/>
      <c r="C55" s="32">
        <v>0.222</v>
      </c>
      <c r="D55" s="33">
        <f>TRUNC($D$15*C55/100,2)</f>
        <v>2.52</v>
      </c>
      <c r="E55" s="69" t="s">
        <v>198</v>
      </c>
      <c r="F55" s="69"/>
      <c r="G55" s="69"/>
      <c r="H55" s="69"/>
      <c r="I55" s="69"/>
      <c r="J55" s="69"/>
      <c r="K55" s="129"/>
      <c r="L55" s="129"/>
      <c r="M55" s="129"/>
      <c r="N55" s="129"/>
      <c r="O55" s="129"/>
      <c r="P55" s="129"/>
      <c r="Q55" s="129"/>
    </row>
    <row r="56" spans="1:17" x14ac:dyDescent="0.35">
      <c r="A56" s="79" t="s">
        <v>70</v>
      </c>
      <c r="B56" s="80"/>
      <c r="C56" s="35">
        <f>SUM(C53:C55)</f>
        <v>0.25900000000000001</v>
      </c>
      <c r="D56" s="34">
        <f>SUM(D53:D55)</f>
        <v>2.93</v>
      </c>
      <c r="E56" s="28"/>
      <c r="F56" s="28"/>
      <c r="G56" s="28"/>
      <c r="H56" s="28"/>
      <c r="I56" s="28"/>
      <c r="J56" s="28"/>
      <c r="K56" s="10"/>
      <c r="L56" s="10"/>
      <c r="M56" s="10"/>
      <c r="N56" s="10"/>
      <c r="O56" s="10"/>
      <c r="P56" s="10"/>
      <c r="Q56" s="10"/>
    </row>
    <row r="57" spans="1:17" x14ac:dyDescent="0.35">
      <c r="A57" s="36"/>
      <c r="B57" s="36"/>
      <c r="C57" s="39"/>
      <c r="D57" s="38"/>
      <c r="E57" s="28"/>
      <c r="F57" s="28"/>
      <c r="G57" s="28"/>
      <c r="H57" s="28"/>
      <c r="I57" s="28"/>
      <c r="J57" s="28"/>
      <c r="K57" s="10"/>
      <c r="L57" s="10"/>
      <c r="M57" s="10"/>
      <c r="N57" s="10"/>
      <c r="O57" s="10"/>
      <c r="P57" s="10"/>
      <c r="Q57" s="10"/>
    </row>
    <row r="58" spans="1:17" x14ac:dyDescent="0.35">
      <c r="A58" s="75" t="s">
        <v>73</v>
      </c>
      <c r="B58" s="76"/>
      <c r="C58" s="30" t="s">
        <v>7</v>
      </c>
      <c r="D58" s="30" t="s">
        <v>8</v>
      </c>
      <c r="E58" s="89" t="s">
        <v>22</v>
      </c>
      <c r="F58" s="89"/>
      <c r="G58" s="89"/>
      <c r="H58" s="89"/>
      <c r="I58" s="89"/>
      <c r="J58" s="89"/>
      <c r="K58" s="10"/>
      <c r="L58" s="10"/>
      <c r="M58" s="10"/>
      <c r="N58" s="10"/>
      <c r="O58" s="10"/>
      <c r="P58" s="10"/>
      <c r="Q58" s="10"/>
    </row>
    <row r="59" spans="1:17" ht="84.75" customHeight="1" x14ac:dyDescent="0.35">
      <c r="A59" s="77" t="s">
        <v>74</v>
      </c>
      <c r="B59" s="78"/>
      <c r="C59" s="32">
        <f>ROUND((C27/100)*(4/12)*(2/100)*100,3)</f>
        <v>0.26500000000000001</v>
      </c>
      <c r="D59" s="33">
        <f>TRUNC($D$15*C59/100,2)</f>
        <v>3.01</v>
      </c>
      <c r="E59" s="120" t="s">
        <v>268</v>
      </c>
      <c r="F59" s="120"/>
      <c r="G59" s="120"/>
      <c r="H59" s="120"/>
      <c r="I59" s="120"/>
      <c r="J59" s="120"/>
      <c r="K59" s="10"/>
      <c r="L59" s="10"/>
      <c r="M59" s="10"/>
      <c r="N59" s="10"/>
      <c r="O59" s="10"/>
      <c r="P59" s="10"/>
      <c r="Q59" s="10"/>
    </row>
    <row r="60" spans="1:17" x14ac:dyDescent="0.35">
      <c r="A60" s="79" t="s">
        <v>75</v>
      </c>
      <c r="B60" s="80"/>
      <c r="C60" s="35">
        <f>SUM(C59)</f>
        <v>0.26500000000000001</v>
      </c>
      <c r="D60" s="34">
        <f>SUM(D59)</f>
        <v>3.01</v>
      </c>
      <c r="E60" s="28"/>
      <c r="F60" s="28"/>
      <c r="G60" s="28"/>
      <c r="H60" s="28"/>
      <c r="I60" s="28"/>
      <c r="J60" s="28"/>
      <c r="K60" s="10"/>
      <c r="L60" s="10"/>
      <c r="M60" s="10"/>
      <c r="N60" s="10"/>
      <c r="O60" s="10"/>
      <c r="P60" s="10"/>
      <c r="Q60" s="10"/>
    </row>
    <row r="61" spans="1:17" x14ac:dyDescent="0.35">
      <c r="A61" s="79" t="s">
        <v>76</v>
      </c>
      <c r="B61" s="80"/>
      <c r="C61" s="35">
        <f>C27+C38+C46+C50+C56+C60</f>
        <v>74.078999999999994</v>
      </c>
      <c r="D61" s="34">
        <f>D27+D38+D46+D50+D56+D60</f>
        <v>844.04999999999984</v>
      </c>
      <c r="E61" s="28"/>
      <c r="F61" s="28"/>
      <c r="G61" s="28"/>
      <c r="H61" s="28"/>
      <c r="I61" s="28"/>
      <c r="J61" s="28"/>
      <c r="K61" s="10"/>
      <c r="L61" s="10"/>
      <c r="M61" s="10"/>
      <c r="N61" s="10"/>
      <c r="O61" s="10"/>
      <c r="P61" s="10"/>
      <c r="Q61" s="10"/>
    </row>
    <row r="62" spans="1:17" ht="15" customHeight="1" x14ac:dyDescent="0.35">
      <c r="A62" s="36"/>
      <c r="B62" s="36"/>
      <c r="C62" s="39"/>
      <c r="D62" s="38"/>
      <c r="E62" s="28"/>
      <c r="F62" s="28"/>
      <c r="G62" s="28"/>
      <c r="H62" s="28"/>
      <c r="I62" s="28"/>
      <c r="J62" s="28"/>
      <c r="K62" s="10"/>
      <c r="L62" s="10"/>
      <c r="M62" s="10"/>
      <c r="N62" s="10"/>
      <c r="O62" s="10"/>
      <c r="P62" s="10"/>
      <c r="Q62" s="10"/>
    </row>
    <row r="63" spans="1:17" ht="15" customHeight="1" x14ac:dyDescent="0.35">
      <c r="A63" s="79" t="s">
        <v>77</v>
      </c>
      <c r="B63" s="104"/>
      <c r="C63" s="80"/>
      <c r="D63" s="34">
        <f>D15+D61</f>
        <v>1983.6499999999996</v>
      </c>
      <c r="E63" s="28"/>
      <c r="F63" s="28"/>
      <c r="G63" s="28"/>
      <c r="H63" s="28"/>
      <c r="I63" s="28"/>
      <c r="J63" s="28"/>
      <c r="K63" s="10"/>
      <c r="L63" s="10"/>
      <c r="M63" s="10"/>
      <c r="N63" s="10"/>
      <c r="O63" s="10"/>
      <c r="P63" s="10"/>
      <c r="Q63" s="10"/>
    </row>
    <row r="64" spans="1:17" ht="15" customHeight="1" x14ac:dyDescent="0.35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10"/>
      <c r="L64" s="10"/>
      <c r="M64" s="10"/>
      <c r="N64" s="10"/>
      <c r="O64" s="10"/>
      <c r="P64" s="10"/>
      <c r="Q64" s="10"/>
    </row>
    <row r="65" spans="1:17" ht="15" customHeight="1" x14ac:dyDescent="0.35">
      <c r="A65" s="89" t="s">
        <v>78</v>
      </c>
      <c r="B65" s="89"/>
      <c r="C65" s="89"/>
      <c r="D65" s="89"/>
      <c r="E65" s="89" t="s">
        <v>22</v>
      </c>
      <c r="F65" s="89"/>
      <c r="G65" s="89"/>
      <c r="H65" s="89"/>
      <c r="I65" s="89"/>
      <c r="J65" s="89"/>
      <c r="K65" s="89" t="s">
        <v>52</v>
      </c>
      <c r="L65" s="89"/>
      <c r="M65" s="89"/>
      <c r="N65" s="89"/>
      <c r="O65" s="89"/>
      <c r="P65" s="89"/>
      <c r="Q65" s="89"/>
    </row>
    <row r="66" spans="1:17" x14ac:dyDescent="0.35">
      <c r="A66" s="101" t="s">
        <v>79</v>
      </c>
      <c r="B66" s="112"/>
      <c r="C66" s="102"/>
      <c r="D66" s="40" t="s">
        <v>8</v>
      </c>
      <c r="E66" s="89"/>
      <c r="F66" s="89"/>
      <c r="G66" s="89"/>
      <c r="H66" s="89"/>
      <c r="I66" s="89"/>
      <c r="J66" s="89"/>
      <c r="K66" s="89"/>
      <c r="L66" s="89"/>
      <c r="M66" s="89"/>
      <c r="N66" s="89"/>
      <c r="O66" s="89"/>
      <c r="P66" s="89"/>
      <c r="Q66" s="89"/>
    </row>
    <row r="67" spans="1:17" ht="143.25" customHeight="1" x14ac:dyDescent="0.35">
      <c r="A67" s="73" t="s">
        <v>109</v>
      </c>
      <c r="B67" s="116"/>
      <c r="C67" s="74"/>
      <c r="D67" s="31">
        <f>19*4</f>
        <v>76</v>
      </c>
      <c r="E67" s="120" t="s">
        <v>235</v>
      </c>
      <c r="F67" s="120"/>
      <c r="G67" s="120"/>
      <c r="H67" s="120"/>
      <c r="I67" s="120"/>
      <c r="J67" s="120"/>
      <c r="K67" s="127"/>
      <c r="L67" s="127"/>
      <c r="M67" s="127"/>
      <c r="N67" s="127"/>
      <c r="O67" s="127"/>
      <c r="P67" s="127"/>
      <c r="Q67" s="127"/>
    </row>
    <row r="68" spans="1:17" ht="68.25" customHeight="1" x14ac:dyDescent="0.35">
      <c r="A68" s="117" t="s">
        <v>124</v>
      </c>
      <c r="B68" s="118"/>
      <c r="C68" s="119"/>
      <c r="D68" s="41">
        <f>(D67*5%)*-1</f>
        <v>-3.8000000000000003</v>
      </c>
      <c r="E68" s="120" t="s">
        <v>232</v>
      </c>
      <c r="F68" s="120"/>
      <c r="G68" s="120"/>
      <c r="H68" s="120"/>
      <c r="I68" s="120"/>
      <c r="J68" s="120"/>
      <c r="K68" s="127"/>
      <c r="L68" s="127"/>
      <c r="M68" s="127"/>
      <c r="N68" s="127"/>
      <c r="O68" s="127"/>
      <c r="P68" s="127"/>
      <c r="Q68" s="127"/>
    </row>
    <row r="69" spans="1:17" ht="48" customHeight="1" x14ac:dyDescent="0.35">
      <c r="A69" s="73" t="s">
        <v>81</v>
      </c>
      <c r="B69" s="116"/>
      <c r="C69" s="74"/>
      <c r="D69" s="33">
        <f>3.8*2*4</f>
        <v>30.4</v>
      </c>
      <c r="E69" s="130" t="s">
        <v>220</v>
      </c>
      <c r="F69" s="131"/>
      <c r="G69" s="131"/>
      <c r="H69" s="131"/>
      <c r="I69" s="131"/>
      <c r="J69" s="132"/>
      <c r="K69" s="127"/>
      <c r="L69" s="127"/>
      <c r="M69" s="127"/>
      <c r="N69" s="127"/>
      <c r="O69" s="127"/>
      <c r="P69" s="127"/>
      <c r="Q69" s="127"/>
    </row>
    <row r="70" spans="1:17" ht="15" customHeight="1" x14ac:dyDescent="0.35">
      <c r="A70" s="88" t="s">
        <v>83</v>
      </c>
      <c r="B70" s="88"/>
      <c r="C70" s="88"/>
      <c r="D70" s="34">
        <f>SUM(D67:D69)</f>
        <v>102.6</v>
      </c>
      <c r="E70" s="28"/>
      <c r="F70" s="28"/>
      <c r="G70" s="28"/>
      <c r="H70" s="28"/>
      <c r="I70" s="28"/>
      <c r="J70" s="28"/>
      <c r="K70" s="10"/>
      <c r="L70" s="10"/>
      <c r="M70" s="10"/>
      <c r="N70" s="10"/>
      <c r="O70" s="10"/>
      <c r="P70" s="10"/>
      <c r="Q70" s="10"/>
    </row>
    <row r="71" spans="1:17" x14ac:dyDescent="0.35">
      <c r="A71" s="36"/>
      <c r="B71" s="36"/>
      <c r="C71" s="36"/>
      <c r="D71" s="38"/>
      <c r="E71" s="28"/>
      <c r="F71" s="28"/>
      <c r="G71" s="28"/>
      <c r="H71" s="28"/>
      <c r="I71" s="28"/>
      <c r="J71" s="28"/>
      <c r="K71" s="10"/>
      <c r="L71" s="10"/>
      <c r="M71" s="10"/>
      <c r="N71" s="10"/>
      <c r="O71" s="10"/>
      <c r="P71" s="10"/>
      <c r="Q71" s="10"/>
    </row>
    <row r="72" spans="1:17" ht="30" customHeight="1" x14ac:dyDescent="0.35">
      <c r="A72" s="79" t="s">
        <v>85</v>
      </c>
      <c r="B72" s="104"/>
      <c r="C72" s="80"/>
      <c r="D72" s="34">
        <f>D63+D70</f>
        <v>2086.2499999999995</v>
      </c>
      <c r="E72" s="28"/>
      <c r="F72" s="28"/>
      <c r="G72" s="28"/>
      <c r="H72" s="28"/>
      <c r="I72" s="28"/>
      <c r="J72" s="28"/>
      <c r="K72" s="10"/>
      <c r="L72" s="10"/>
      <c r="M72" s="10"/>
      <c r="N72" s="10"/>
      <c r="O72" s="10"/>
      <c r="P72" s="10"/>
      <c r="Q72" s="10"/>
    </row>
    <row r="73" spans="1:17" x14ac:dyDescent="0.35">
      <c r="A73" s="36"/>
      <c r="B73" s="36"/>
      <c r="C73" s="36"/>
      <c r="D73" s="38"/>
      <c r="E73" s="28"/>
      <c r="F73" s="28"/>
      <c r="G73" s="28"/>
      <c r="H73" s="28"/>
      <c r="I73" s="28"/>
      <c r="J73" s="28"/>
      <c r="K73" s="10"/>
      <c r="L73" s="10"/>
      <c r="M73" s="10"/>
      <c r="N73" s="10"/>
      <c r="O73" s="10"/>
      <c r="P73" s="10"/>
      <c r="Q73" s="10"/>
    </row>
    <row r="74" spans="1:17" x14ac:dyDescent="0.35">
      <c r="A74" s="89" t="s">
        <v>202</v>
      </c>
      <c r="B74" s="89"/>
      <c r="C74" s="89"/>
      <c r="D74" s="89"/>
      <c r="E74" s="89" t="s">
        <v>22</v>
      </c>
      <c r="F74" s="89"/>
      <c r="G74" s="89"/>
      <c r="H74" s="89"/>
      <c r="I74" s="89"/>
      <c r="J74" s="89"/>
      <c r="K74" s="89" t="s">
        <v>52</v>
      </c>
      <c r="L74" s="89"/>
      <c r="M74" s="89"/>
      <c r="N74" s="89"/>
      <c r="O74" s="89"/>
      <c r="P74" s="89"/>
      <c r="Q74" s="89"/>
    </row>
    <row r="75" spans="1:17" ht="14.5" customHeight="1" x14ac:dyDescent="0.35">
      <c r="A75" s="75" t="s">
        <v>86</v>
      </c>
      <c r="B75" s="76"/>
      <c r="C75" s="30" t="s">
        <v>7</v>
      </c>
      <c r="D75" s="30" t="s">
        <v>8</v>
      </c>
      <c r="E75" s="89"/>
      <c r="F75" s="89"/>
      <c r="G75" s="89"/>
      <c r="H75" s="89"/>
      <c r="I75" s="89"/>
      <c r="J75" s="89"/>
      <c r="K75" s="89"/>
      <c r="L75" s="89"/>
      <c r="M75" s="89"/>
      <c r="N75" s="89"/>
      <c r="O75" s="89"/>
      <c r="P75" s="89"/>
      <c r="Q75" s="89"/>
    </row>
    <row r="76" spans="1:17" s="1" customFormat="1" ht="30" customHeight="1" x14ac:dyDescent="0.3">
      <c r="A76" s="77" t="s">
        <v>87</v>
      </c>
      <c r="B76" s="78"/>
      <c r="C76" s="33">
        <v>0</v>
      </c>
      <c r="D76" s="44">
        <f>$D$72*C76%</f>
        <v>0</v>
      </c>
      <c r="E76" s="105" t="s">
        <v>97</v>
      </c>
      <c r="F76" s="106"/>
      <c r="G76" s="106"/>
      <c r="H76" s="106"/>
      <c r="I76" s="106"/>
      <c r="J76" s="107"/>
      <c r="K76" s="127"/>
      <c r="L76" s="127"/>
      <c r="M76" s="127"/>
      <c r="N76" s="127"/>
      <c r="O76" s="127"/>
      <c r="P76" s="127"/>
      <c r="Q76" s="127"/>
    </row>
    <row r="77" spans="1:17" s="1" customFormat="1" ht="30" customHeight="1" x14ac:dyDescent="0.3">
      <c r="A77" s="77" t="s">
        <v>11</v>
      </c>
      <c r="B77" s="78"/>
      <c r="C77" s="33">
        <v>0</v>
      </c>
      <c r="D77" s="44">
        <f>(D72+D76)*C77%</f>
        <v>0</v>
      </c>
      <c r="E77" s="108"/>
      <c r="F77" s="109"/>
      <c r="G77" s="109"/>
      <c r="H77" s="109"/>
      <c r="I77" s="109"/>
      <c r="J77" s="110"/>
      <c r="K77" s="127"/>
      <c r="L77" s="127"/>
      <c r="M77" s="127"/>
      <c r="N77" s="127"/>
      <c r="O77" s="127"/>
      <c r="P77" s="127"/>
      <c r="Q77" s="127"/>
    </row>
    <row r="78" spans="1:17" x14ac:dyDescent="0.35">
      <c r="A78" s="79" t="s">
        <v>88</v>
      </c>
      <c r="B78" s="80"/>
      <c r="C78" s="45">
        <f>SUM(C76:C77)</f>
        <v>0</v>
      </c>
      <c r="D78" s="34">
        <f>SUM(D76:D77)</f>
        <v>0</v>
      </c>
      <c r="E78" s="28"/>
      <c r="F78" s="28"/>
      <c r="G78" s="28"/>
      <c r="H78" s="28"/>
      <c r="I78" s="28"/>
      <c r="J78" s="28"/>
      <c r="K78" s="10"/>
      <c r="L78" s="10"/>
      <c r="M78" s="10"/>
      <c r="N78" s="10"/>
      <c r="O78" s="10"/>
      <c r="P78" s="10"/>
      <c r="Q78" s="10"/>
    </row>
    <row r="79" spans="1:17" x14ac:dyDescent="0.35">
      <c r="A79" s="36"/>
      <c r="B79" s="36"/>
      <c r="C79" s="37"/>
      <c r="D79" s="38"/>
      <c r="E79" s="28"/>
      <c r="F79" s="28"/>
      <c r="G79" s="28"/>
      <c r="H79" s="28"/>
      <c r="I79" s="28"/>
      <c r="J79" s="28"/>
      <c r="K79" s="10"/>
      <c r="L79" s="10"/>
      <c r="M79" s="10"/>
      <c r="N79" s="10"/>
      <c r="O79" s="10"/>
      <c r="P79" s="10"/>
      <c r="Q79" s="10"/>
    </row>
    <row r="80" spans="1:17" ht="30" customHeight="1" x14ac:dyDescent="0.35">
      <c r="A80" s="79" t="s">
        <v>203</v>
      </c>
      <c r="B80" s="104"/>
      <c r="C80" s="80"/>
      <c r="D80" s="34">
        <f>D72+D78</f>
        <v>2086.2499999999995</v>
      </c>
      <c r="E80" s="28"/>
      <c r="F80" s="28"/>
      <c r="G80" s="28"/>
      <c r="H80" s="28"/>
      <c r="I80" s="28"/>
      <c r="J80" s="28"/>
      <c r="K80" s="10"/>
      <c r="L80" s="10"/>
      <c r="M80" s="10"/>
      <c r="N80" s="10"/>
      <c r="O80" s="10"/>
      <c r="P80" s="10"/>
      <c r="Q80" s="10"/>
    </row>
    <row r="81" spans="1:17" x14ac:dyDescent="0.35">
      <c r="A81" s="36"/>
      <c r="B81" s="36"/>
      <c r="C81" s="36"/>
      <c r="D81" s="38"/>
      <c r="E81" s="28"/>
      <c r="F81" s="28"/>
      <c r="G81" s="28"/>
      <c r="H81" s="28"/>
      <c r="I81" s="28"/>
      <c r="J81" s="28"/>
      <c r="K81" s="10"/>
      <c r="L81" s="10"/>
      <c r="M81" s="10"/>
      <c r="N81" s="10"/>
      <c r="O81" s="10"/>
      <c r="P81" s="10"/>
      <c r="Q81" s="10"/>
    </row>
    <row r="82" spans="1:17" ht="35.25" customHeight="1" x14ac:dyDescent="0.35">
      <c r="A82" s="126" t="s">
        <v>111</v>
      </c>
      <c r="B82" s="126"/>
      <c r="C82" s="46">
        <f>(-1+(SUM(C85:C87)/100))*(-1)</f>
        <v>0.91349999999999998</v>
      </c>
      <c r="D82" s="34">
        <f>D80/C82</f>
        <v>2283.7985769020247</v>
      </c>
      <c r="E82" s="127"/>
      <c r="F82" s="127"/>
      <c r="G82" s="127"/>
      <c r="H82" s="127"/>
      <c r="I82" s="127"/>
      <c r="J82" s="28"/>
      <c r="K82" s="10"/>
      <c r="L82" s="10"/>
      <c r="M82" s="10"/>
      <c r="N82" s="10"/>
      <c r="O82" s="10"/>
      <c r="P82" s="10"/>
      <c r="Q82" s="10"/>
    </row>
    <row r="83" spans="1:17" x14ac:dyDescent="0.35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10"/>
      <c r="L83" s="10"/>
      <c r="M83" s="10"/>
      <c r="N83" s="10"/>
      <c r="O83" s="10"/>
      <c r="P83" s="10"/>
      <c r="Q83" s="10"/>
    </row>
    <row r="84" spans="1:17" x14ac:dyDescent="0.35">
      <c r="A84" s="75" t="s">
        <v>89</v>
      </c>
      <c r="B84" s="76"/>
      <c r="C84" s="30" t="s">
        <v>7</v>
      </c>
      <c r="D84" s="30" t="s">
        <v>8</v>
      </c>
      <c r="E84" s="89" t="s">
        <v>22</v>
      </c>
      <c r="F84" s="89"/>
      <c r="G84" s="89"/>
      <c r="H84" s="89"/>
      <c r="I84" s="89"/>
      <c r="J84" s="89"/>
      <c r="K84" s="89" t="s">
        <v>52</v>
      </c>
      <c r="L84" s="89"/>
      <c r="M84" s="89"/>
      <c r="N84" s="89"/>
      <c r="O84" s="89"/>
      <c r="P84" s="89"/>
      <c r="Q84" s="89"/>
    </row>
    <row r="85" spans="1:17" ht="22" customHeight="1" x14ac:dyDescent="0.35">
      <c r="A85" s="77" t="s">
        <v>90</v>
      </c>
      <c r="B85" s="78"/>
      <c r="C85" s="33">
        <v>5</v>
      </c>
      <c r="D85" s="33">
        <f>$D$82*C85%</f>
        <v>114.18992884510124</v>
      </c>
      <c r="E85" s="111" t="s">
        <v>248</v>
      </c>
      <c r="F85" s="111"/>
      <c r="G85" s="111"/>
      <c r="H85" s="111"/>
      <c r="I85" s="111"/>
      <c r="J85" s="111"/>
      <c r="K85" s="103"/>
      <c r="L85" s="103"/>
      <c r="M85" s="103"/>
      <c r="N85" s="103"/>
      <c r="O85" s="103"/>
      <c r="P85" s="103"/>
      <c r="Q85" s="103"/>
    </row>
    <row r="86" spans="1:17" ht="22" customHeight="1" x14ac:dyDescent="0.35">
      <c r="A86" s="77" t="s">
        <v>91</v>
      </c>
      <c r="B86" s="78"/>
      <c r="C86" s="33">
        <v>3</v>
      </c>
      <c r="D86" s="33">
        <f>$D$82*C86%</f>
        <v>68.513957307060736</v>
      </c>
      <c r="E86" s="111"/>
      <c r="F86" s="111"/>
      <c r="G86" s="111"/>
      <c r="H86" s="111"/>
      <c r="I86" s="111"/>
      <c r="J86" s="111"/>
      <c r="K86" s="103"/>
      <c r="L86" s="103"/>
      <c r="M86" s="103"/>
      <c r="N86" s="103"/>
      <c r="O86" s="103"/>
      <c r="P86" s="103"/>
      <c r="Q86" s="103"/>
    </row>
    <row r="87" spans="1:17" ht="22" customHeight="1" x14ac:dyDescent="0.35">
      <c r="A87" s="77" t="s">
        <v>92</v>
      </c>
      <c r="B87" s="78"/>
      <c r="C87" s="2">
        <v>0.65</v>
      </c>
      <c r="D87" s="33">
        <f>$D$82*C87%</f>
        <v>14.844690749863162</v>
      </c>
      <c r="E87" s="111"/>
      <c r="F87" s="111"/>
      <c r="G87" s="111"/>
      <c r="H87" s="111"/>
      <c r="I87" s="111"/>
      <c r="J87" s="111"/>
      <c r="K87" s="103"/>
      <c r="L87" s="103"/>
      <c r="M87" s="103"/>
      <c r="N87" s="103"/>
      <c r="O87" s="103"/>
      <c r="P87" s="103"/>
      <c r="Q87" s="103"/>
    </row>
    <row r="88" spans="1:17" x14ac:dyDescent="0.35">
      <c r="A88" s="79" t="s">
        <v>93</v>
      </c>
      <c r="B88" s="80"/>
      <c r="C88" s="45">
        <f>SUM(C85:C87)</f>
        <v>8.65</v>
      </c>
      <c r="D88" s="34">
        <f>SUM(D85:D87)</f>
        <v>197.54857690202513</v>
      </c>
      <c r="E88" s="28"/>
      <c r="F88" s="28"/>
      <c r="G88" s="28"/>
      <c r="H88" s="28"/>
      <c r="I88" s="28"/>
      <c r="J88" s="28"/>
      <c r="K88" s="10"/>
      <c r="L88" s="10"/>
      <c r="M88" s="10"/>
      <c r="N88" s="10"/>
      <c r="O88" s="10"/>
      <c r="P88" s="10"/>
      <c r="Q88" s="10"/>
    </row>
    <row r="89" spans="1:17" x14ac:dyDescent="0.35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10"/>
      <c r="L89" s="10"/>
      <c r="M89" s="10"/>
      <c r="N89" s="10"/>
      <c r="O89" s="10"/>
      <c r="P89" s="10"/>
      <c r="Q89" s="10"/>
    </row>
    <row r="90" spans="1:17" ht="25" customHeight="1" x14ac:dyDescent="0.35">
      <c r="A90" s="79" t="s">
        <v>94</v>
      </c>
      <c r="B90" s="104"/>
      <c r="C90" s="80"/>
      <c r="D90" s="34">
        <f>D80+D88</f>
        <v>2283.7985769020247</v>
      </c>
      <c r="E90" s="28"/>
      <c r="F90" s="28"/>
      <c r="G90" s="28"/>
      <c r="H90" s="28"/>
      <c r="I90" s="28"/>
      <c r="J90" s="28"/>
      <c r="K90" s="10"/>
      <c r="L90" s="10"/>
      <c r="M90" s="10"/>
      <c r="N90" s="10"/>
      <c r="O90" s="10"/>
      <c r="P90" s="10"/>
      <c r="Q90" s="10"/>
    </row>
    <row r="91" spans="1:17" x14ac:dyDescent="0.35">
      <c r="A91" s="28"/>
      <c r="B91" s="28"/>
      <c r="C91" s="28"/>
      <c r="D91" s="28"/>
      <c r="E91" s="28"/>
      <c r="F91" s="28"/>
      <c r="G91" s="28"/>
      <c r="H91" s="28"/>
      <c r="I91" s="28"/>
      <c r="J91" s="28"/>
      <c r="K91" s="10"/>
      <c r="L91" s="10"/>
      <c r="M91" s="10"/>
      <c r="N91" s="10"/>
      <c r="O91" s="10"/>
      <c r="P91" s="10"/>
      <c r="Q91" s="10"/>
    </row>
    <row r="92" spans="1:17" ht="25" customHeight="1" x14ac:dyDescent="0.35">
      <c r="A92" s="89" t="s">
        <v>221</v>
      </c>
      <c r="B92" s="89"/>
      <c r="C92" s="89"/>
      <c r="D92" s="89"/>
      <c r="E92" s="28"/>
      <c r="F92" s="28"/>
      <c r="G92" s="28"/>
      <c r="H92" s="28"/>
      <c r="I92" s="28"/>
      <c r="J92" s="28"/>
      <c r="K92" s="10"/>
      <c r="L92" s="10"/>
      <c r="M92" s="10"/>
      <c r="N92" s="10"/>
      <c r="O92" s="10"/>
      <c r="P92" s="10"/>
      <c r="Q92" s="10"/>
    </row>
    <row r="93" spans="1:17" ht="25" customHeight="1" x14ac:dyDescent="0.35">
      <c r="A93" s="79" t="s">
        <v>222</v>
      </c>
      <c r="B93" s="104"/>
      <c r="C93" s="80"/>
      <c r="D93" s="34">
        <f>D90/220</f>
        <v>10.38090262228193</v>
      </c>
      <c r="E93" s="28"/>
      <c r="F93" s="28"/>
      <c r="G93" s="28"/>
      <c r="H93" s="28"/>
      <c r="I93" s="28"/>
      <c r="J93" s="28"/>
      <c r="K93" s="10"/>
      <c r="L93" s="10"/>
      <c r="M93" s="10"/>
      <c r="N93" s="10"/>
      <c r="O93" s="10"/>
      <c r="P93" s="10"/>
      <c r="Q93" s="10"/>
    </row>
    <row r="94" spans="1:17" ht="25" customHeight="1" x14ac:dyDescent="0.35">
      <c r="A94" s="79" t="s">
        <v>260</v>
      </c>
      <c r="B94" s="104"/>
      <c r="C94" s="80"/>
      <c r="D94" s="34">
        <f>(D93*50%)+D93</f>
        <v>15.571353933422895</v>
      </c>
      <c r="E94" s="28"/>
      <c r="F94" s="28"/>
      <c r="G94" s="28"/>
      <c r="H94" s="28"/>
      <c r="I94" s="28"/>
      <c r="J94" s="28"/>
      <c r="K94" s="10"/>
      <c r="L94" s="10"/>
      <c r="M94" s="10"/>
      <c r="N94" s="10"/>
      <c r="O94" s="10"/>
      <c r="P94" s="10"/>
      <c r="Q94" s="10"/>
    </row>
    <row r="95" spans="1:17" ht="25" customHeight="1" x14ac:dyDescent="0.35">
      <c r="A95" s="79" t="s">
        <v>223</v>
      </c>
      <c r="B95" s="104"/>
      <c r="C95" s="80"/>
      <c r="D95" s="34">
        <f>(D93*100%)+D93</f>
        <v>20.76180524456386</v>
      </c>
      <c r="E95" s="28"/>
      <c r="F95" s="28"/>
      <c r="G95" s="28"/>
      <c r="H95" s="28"/>
      <c r="I95" s="28"/>
      <c r="J95" s="28"/>
      <c r="K95" s="10"/>
      <c r="L95" s="10"/>
      <c r="M95" s="10"/>
      <c r="N95" s="10"/>
      <c r="O95" s="10"/>
      <c r="P95" s="10"/>
      <c r="Q95" s="10"/>
    </row>
  </sheetData>
  <mergeCells count="137">
    <mergeCell ref="K84:Q84"/>
    <mergeCell ref="K85:Q87"/>
    <mergeCell ref="K74:Q75"/>
    <mergeCell ref="K76:Q77"/>
    <mergeCell ref="K65:Q66"/>
    <mergeCell ref="K67:Q69"/>
    <mergeCell ref="A95:C95"/>
    <mergeCell ref="A88:B88"/>
    <mergeCell ref="A90:C90"/>
    <mergeCell ref="A92:D92"/>
    <mergeCell ref="A93:C93"/>
    <mergeCell ref="A94:C94"/>
    <mergeCell ref="A84:B84"/>
    <mergeCell ref="E84:J84"/>
    <mergeCell ref="A85:B85"/>
    <mergeCell ref="E85:J87"/>
    <mergeCell ref="A86:B86"/>
    <mergeCell ref="A87:B87"/>
    <mergeCell ref="A76:B76"/>
    <mergeCell ref="E76:J77"/>
    <mergeCell ref="A77:B77"/>
    <mergeCell ref="A78:B78"/>
    <mergeCell ref="A80:C80"/>
    <mergeCell ref="A82:B82"/>
    <mergeCell ref="E82:I82"/>
    <mergeCell ref="A70:C70"/>
    <mergeCell ref="A72:C72"/>
    <mergeCell ref="A74:D74"/>
    <mergeCell ref="E74:J75"/>
    <mergeCell ref="A75:B75"/>
    <mergeCell ref="A56:B56"/>
    <mergeCell ref="A58:B58"/>
    <mergeCell ref="E58:J58"/>
    <mergeCell ref="A59:B59"/>
    <mergeCell ref="E59:J59"/>
    <mergeCell ref="A69:C69"/>
    <mergeCell ref="E69:J69"/>
    <mergeCell ref="A67:C67"/>
    <mergeCell ref="E67:J67"/>
    <mergeCell ref="A68:C68"/>
    <mergeCell ref="E68:J68"/>
    <mergeCell ref="A60:B60"/>
    <mergeCell ref="A61:B61"/>
    <mergeCell ref="A63:C63"/>
    <mergeCell ref="A65:D65"/>
    <mergeCell ref="E65:J66"/>
    <mergeCell ref="A66:C66"/>
    <mergeCell ref="K52:Q52"/>
    <mergeCell ref="A53:B53"/>
    <mergeCell ref="E53:J53"/>
    <mergeCell ref="K53:Q55"/>
    <mergeCell ref="A54:B54"/>
    <mergeCell ref="E54:J54"/>
    <mergeCell ref="A55:B55"/>
    <mergeCell ref="E45:J45"/>
    <mergeCell ref="A46:B46"/>
    <mergeCell ref="A48:B48"/>
    <mergeCell ref="E48:J48"/>
    <mergeCell ref="A49:B49"/>
    <mergeCell ref="E49:J49"/>
    <mergeCell ref="E55:J55"/>
    <mergeCell ref="A50:B50"/>
    <mergeCell ref="A52:B52"/>
    <mergeCell ref="E52:J52"/>
    <mergeCell ref="A41:B41"/>
    <mergeCell ref="E41:J41"/>
    <mergeCell ref="K41:Q45"/>
    <mergeCell ref="A42:B42"/>
    <mergeCell ref="E42:J42"/>
    <mergeCell ref="A43:B43"/>
    <mergeCell ref="E43:J43"/>
    <mergeCell ref="A44:B44"/>
    <mergeCell ref="E44:J44"/>
    <mergeCell ref="A45:B45"/>
    <mergeCell ref="A38:B38"/>
    <mergeCell ref="A40:B40"/>
    <mergeCell ref="E40:J40"/>
    <mergeCell ref="K40:Q40"/>
    <mergeCell ref="A34:B34"/>
    <mergeCell ref="E34:J34"/>
    <mergeCell ref="A35:B35"/>
    <mergeCell ref="E35:J35"/>
    <mergeCell ref="A36:B36"/>
    <mergeCell ref="E36:J36"/>
    <mergeCell ref="K29:Q29"/>
    <mergeCell ref="A30:B30"/>
    <mergeCell ref="E30:J30"/>
    <mergeCell ref="K30:Q37"/>
    <mergeCell ref="A31:B31"/>
    <mergeCell ref="E31:J31"/>
    <mergeCell ref="A32:B32"/>
    <mergeCell ref="E32:J32"/>
    <mergeCell ref="A33:B33"/>
    <mergeCell ref="E33:J33"/>
    <mergeCell ref="A37:B37"/>
    <mergeCell ref="E37:J37"/>
    <mergeCell ref="A25:B25"/>
    <mergeCell ref="E25:J25"/>
    <mergeCell ref="A26:B26"/>
    <mergeCell ref="E26:J26"/>
    <mergeCell ref="A27:B27"/>
    <mergeCell ref="A29:B29"/>
    <mergeCell ref="E29:J29"/>
    <mergeCell ref="A22:B22"/>
    <mergeCell ref="E22:J22"/>
    <mergeCell ref="A23:B23"/>
    <mergeCell ref="E23:J23"/>
    <mergeCell ref="A24:B24"/>
    <mergeCell ref="E24:J24"/>
    <mergeCell ref="A20:B20"/>
    <mergeCell ref="E20:J20"/>
    <mergeCell ref="A21:B21"/>
    <mergeCell ref="E21:J21"/>
    <mergeCell ref="A13:B13"/>
    <mergeCell ref="E13:J13"/>
    <mergeCell ref="A14:B14"/>
    <mergeCell ref="E14:J14"/>
    <mergeCell ref="A15:C15"/>
    <mergeCell ref="A17:D17"/>
    <mergeCell ref="E17:J18"/>
    <mergeCell ref="A18:B18"/>
    <mergeCell ref="A1:Q1"/>
    <mergeCell ref="G2:Q2"/>
    <mergeCell ref="G3:Q8"/>
    <mergeCell ref="A10:Q10"/>
    <mergeCell ref="A11:D11"/>
    <mergeCell ref="E11:J12"/>
    <mergeCell ref="A12:B12"/>
    <mergeCell ref="A19:B19"/>
    <mergeCell ref="E19:J19"/>
    <mergeCell ref="B2:E2"/>
    <mergeCell ref="B3:E3"/>
    <mergeCell ref="B4:E4"/>
    <mergeCell ref="B5:E5"/>
    <mergeCell ref="B6:E6"/>
    <mergeCell ref="K11:Q12"/>
    <mergeCell ref="K13:Q14"/>
  </mergeCells>
  <pageMargins left="0.51181102362204722" right="0.51181102362204722" top="1.1811023622047245" bottom="1.1811023622047245" header="0.31496062992125984" footer="0.31496062992125984"/>
  <pageSetup paperSize="9" scale="49" fitToHeight="0" orientation="portrait" r:id="rId1"/>
  <headerFooter>
    <oddHeader>&amp;C&amp;"Arial Black,Normal"&amp;24COREN-AM - &amp;16PLANILHA(S) DETALHADA DE CUSTO - VIGILANTE(S) ARMADO e AGENTE DE PORTARIA - 11/05/2020</oddHeader>
    <oddFooter>&amp;LRua Tapajós, 350 – Centro, Manaus-AM, 69010-150
Horário: 8h às 16 horas. 
Telefone: (92) 3232-9924
http://www.corenam.gov.br/
e-mail: selic@corenam.gov.br&amp;CPágina &amp;P de &amp;N&amp;RSETOR DE LICITAÇÕES E 
CONTRATOS - SELIC/COREN-AM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10</vt:i4>
      </vt:variant>
    </vt:vector>
  </HeadingPairs>
  <TitlesOfParts>
    <vt:vector size="10" baseType="lpstr">
      <vt:lpstr>Quadro Geral</vt:lpstr>
      <vt:lpstr>Vigilante Patrimonial (Diurno)</vt:lpstr>
      <vt:lpstr>Vigilante Patrimonial (Noturno)</vt:lpstr>
      <vt:lpstr>Agente de Portaria</vt:lpstr>
      <vt:lpstr>Uniforme Vigilante</vt:lpstr>
      <vt:lpstr>Uniforme Agente de Portaria</vt:lpstr>
      <vt:lpstr>Manut. Depre. Munição Vigilante</vt:lpstr>
      <vt:lpstr>Manut. Depre. Agente Portaria</vt:lpstr>
      <vt:lpstr>Horas Extras</vt:lpstr>
      <vt:lpstr>Ag. Port. Serv. Extraodinário</vt:lpstr>
    </vt:vector>
  </TitlesOfParts>
  <Company>Conselho Federal de Enfermagem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Abraao Azevedo</cp:lastModifiedBy>
  <cp:lastPrinted>2020-05-14T18:44:48Z</cp:lastPrinted>
  <dcterms:created xsi:type="dcterms:W3CDTF">2019-11-11T13:48:18Z</dcterms:created>
  <dcterms:modified xsi:type="dcterms:W3CDTF">2020-10-06T15:35:45Z</dcterms:modified>
</cp:coreProperties>
</file>