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Processos\Licitações\2023\Pregão\08-2023 - Serviço de Limpeza e conservação\"/>
    </mc:Choice>
  </mc:AlternateContent>
  <xr:revisionPtr revIDLastSave="0" documentId="8_{D204617F-DF48-4748-AD94-DDC9615AA673}" xr6:coauthVersionLast="47" xr6:coauthVersionMax="47" xr10:uidLastSave="{00000000-0000-0000-0000-000000000000}"/>
  <bookViews>
    <workbookView xWindow="-108" yWindow="-108" windowWidth="23256" windowHeight="12456" xr2:uid="{B46B901A-07D5-4457-AD9F-C7C8802AB6B8}"/>
  </bookViews>
  <sheets>
    <sheet name="Quadro Geral de Custo" sheetId="71" r:id="rId1"/>
    <sheet name="Agente de Limpeza" sheetId="82" r:id="rId2"/>
    <sheet name="Uniforme" sheetId="79" r:id="rId3"/>
    <sheet name="EPIs" sheetId="80" r:id="rId4"/>
    <sheet name="Material " sheetId="81" r:id="rId5"/>
  </sheets>
  <definedNames>
    <definedName name="_xlnm.Print_Area" localSheetId="1">'Agente de Limpeza'!$A$1:$L$112</definedName>
    <definedName name="_xlnm.Print_Area" localSheetId="3">EPIs!$A$1:$K$7</definedName>
    <definedName name="_xlnm.Print_Area" localSheetId="4">'Material '!$A$1:$O$29</definedName>
    <definedName name="_xlnm.Print_Area" localSheetId="0">'Quadro Geral de Custo'!$A$1:$F$12</definedName>
    <definedName name="_xlnm.Print_Area" localSheetId="2">Uniforme!$A$1:$I$10</definedName>
  </definedNames>
  <calcPr calcId="191029"/>
</workbook>
</file>

<file path=xl/calcChain.xml><?xml version="1.0" encoding="utf-8"?>
<calcChain xmlns="http://schemas.openxmlformats.org/spreadsheetml/2006/main">
  <c r="F4" i="71" l="1"/>
  <c r="F3" i="71"/>
  <c r="D72" i="82"/>
  <c r="D71" i="82"/>
  <c r="B2" i="82"/>
  <c r="D13" i="82"/>
  <c r="D14" i="82" s="1"/>
  <c r="E12" i="82"/>
  <c r="C26" i="82"/>
  <c r="C55" i="82" s="1"/>
  <c r="C56" i="82" s="1"/>
  <c r="D104" i="82" s="1"/>
  <c r="C29" i="82"/>
  <c r="C30" i="82"/>
  <c r="C31" i="82"/>
  <c r="C32" i="82"/>
  <c r="C33" i="82"/>
  <c r="C34" i="82"/>
  <c r="C35" i="82"/>
  <c r="C36" i="82"/>
  <c r="C37" i="82"/>
  <c r="C41" i="82"/>
  <c r="C51" i="82" s="1"/>
  <c r="C52" i="82" s="1"/>
  <c r="D103" i="82" s="1"/>
  <c r="C42" i="82"/>
  <c r="C43" i="82"/>
  <c r="D63" i="82"/>
  <c r="D64" i="82" s="1"/>
  <c r="D65" i="82"/>
  <c r="D66" i="82"/>
  <c r="D68" i="82"/>
  <c r="D69" i="82"/>
  <c r="D70" i="82"/>
  <c r="C82" i="82"/>
  <c r="C86" i="82"/>
  <c r="C92" i="82"/>
  <c r="F5" i="71" l="1"/>
  <c r="D99" i="82"/>
  <c r="C38" i="82"/>
  <c r="C47" i="82" s="1"/>
  <c r="C48" i="82" s="1"/>
  <c r="D102" i="82" s="1"/>
  <c r="D19" i="82"/>
  <c r="D67" i="82"/>
  <c r="C44" i="82"/>
  <c r="D101" i="82" s="1"/>
  <c r="D25" i="82"/>
  <c r="D43" i="82"/>
  <c r="D37" i="82"/>
  <c r="D22" i="82" l="1"/>
  <c r="D32" i="82"/>
  <c r="D23" i="82"/>
  <c r="D36" i="82"/>
  <c r="D35" i="82"/>
  <c r="D51" i="82"/>
  <c r="D52" i="82" s="1"/>
  <c r="D18" i="82"/>
  <c r="D21" i="82"/>
  <c r="D30" i="82"/>
  <c r="D42" i="82"/>
  <c r="D29" i="82"/>
  <c r="D34" i="82"/>
  <c r="D33" i="82"/>
  <c r="D24" i="82"/>
  <c r="C108" i="82"/>
  <c r="D100" i="82"/>
  <c r="D105" i="82" s="1"/>
  <c r="D20" i="82"/>
  <c r="D41" i="82"/>
  <c r="D44" i="82" s="1"/>
  <c r="D55" i="82"/>
  <c r="D56" i="82" s="1"/>
  <c r="D31" i="82"/>
  <c r="D47" i="82"/>
  <c r="D48" i="82" s="1"/>
  <c r="C57" i="82"/>
  <c r="D26" i="82" l="1"/>
  <c r="D38" i="82"/>
  <c r="D57" i="82"/>
  <c r="D59" i="82" s="1"/>
  <c r="C109" i="82" l="1"/>
  <c r="O4" i="81" l="1"/>
  <c r="O5" i="81"/>
  <c r="O6" i="81"/>
  <c r="O7" i="81"/>
  <c r="O8" i="81"/>
  <c r="O9" i="81"/>
  <c r="O10" i="81"/>
  <c r="O11" i="81"/>
  <c r="O12" i="81"/>
  <c r="O13" i="81"/>
  <c r="O14" i="81"/>
  <c r="O15" i="81"/>
  <c r="O16" i="81"/>
  <c r="O17" i="81"/>
  <c r="O18" i="81"/>
  <c r="O19" i="81"/>
  <c r="O20" i="81"/>
  <c r="O21" i="81"/>
  <c r="O22" i="81"/>
  <c r="O23" i="81"/>
  <c r="O24" i="81"/>
  <c r="O25" i="81"/>
  <c r="O26" i="81"/>
  <c r="O3" i="81"/>
  <c r="A4" i="81"/>
  <c r="A5" i="81" s="1"/>
  <c r="A6" i="81" s="1"/>
  <c r="A7" i="81" s="1"/>
  <c r="A8" i="81" s="1"/>
  <c r="A9" i="81" s="1"/>
  <c r="A10" i="81" s="1"/>
  <c r="A11" i="81" s="1"/>
  <c r="A12" i="81" s="1"/>
  <c r="A13" i="81" s="1"/>
  <c r="A14" i="81" s="1"/>
  <c r="A15" i="81" s="1"/>
  <c r="A16" i="81" s="1"/>
  <c r="A17" i="81" s="1"/>
  <c r="A18" i="81" s="1"/>
  <c r="A19" i="81" s="1"/>
  <c r="A20" i="81" s="1"/>
  <c r="A21" i="81" s="1"/>
  <c r="A22" i="81" s="1"/>
  <c r="A23" i="81" s="1"/>
  <c r="A24" i="81" s="1"/>
  <c r="A25" i="81" s="1"/>
  <c r="A26" i="81" s="1"/>
  <c r="O27" i="81" l="1"/>
  <c r="O28" i="81" s="1"/>
  <c r="D73" i="82" s="1"/>
  <c r="D74" i="82" s="1"/>
  <c r="J3" i="80"/>
  <c r="A4" i="79"/>
  <c r="A5" i="79" s="1"/>
  <c r="A6" i="79" s="1"/>
  <c r="A7" i="79" s="1"/>
  <c r="J4" i="80"/>
  <c r="H7" i="79"/>
  <c r="H6" i="79"/>
  <c r="H5" i="79"/>
  <c r="H4" i="79"/>
  <c r="H3" i="79"/>
  <c r="H8" i="79" s="1"/>
  <c r="C110" i="82" l="1"/>
  <c r="D76" i="82"/>
  <c r="J5" i="80"/>
  <c r="J6" i="80" s="1"/>
  <c r="H9" i="79"/>
  <c r="D81" i="82" l="1"/>
  <c r="D80" i="82"/>
  <c r="E7" i="71"/>
  <c r="D82" i="82" l="1"/>
  <c r="D84" i="82" s="1"/>
  <c r="D86" i="82" s="1"/>
  <c r="D90" i="82" l="1"/>
  <c r="D91" i="82"/>
  <c r="D89" i="82"/>
  <c r="D92" i="82" l="1"/>
  <c r="C111" i="82" s="1"/>
  <c r="C112" i="82" s="1"/>
  <c r="D94" i="82" l="1"/>
  <c r="D95" i="82" s="1"/>
  <c r="D111" i="82"/>
  <c r="D108" i="82"/>
  <c r="D109" i="82"/>
  <c r="D110" i="82"/>
  <c r="D96" i="82" l="1"/>
  <c r="E4" i="71" s="1"/>
  <c r="D112" i="82"/>
  <c r="E3" i="71" l="1"/>
</calcChain>
</file>

<file path=xl/sharedStrings.xml><?xml version="1.0" encoding="utf-8"?>
<sst xmlns="http://schemas.openxmlformats.org/spreadsheetml/2006/main" count="290" uniqueCount="210">
  <si>
    <t>PLANILHA ORÇAMENTÁRIA DE REFERÊNCIA DE FORMAÇÃO DE CUSTO DE MÃO DE OBRA</t>
  </si>
  <si>
    <t>Unidade de medida:</t>
  </si>
  <si>
    <t>Tipo de serviço:</t>
  </si>
  <si>
    <t>Quantidade total a contratar (em função da unidade de medida):</t>
  </si>
  <si>
    <t>MÃO DE OBRA VINCULADA À EXECUÇÃO CONTRATUAL</t>
  </si>
  <si>
    <t>Composição da Remuneração</t>
  </si>
  <si>
    <t>%</t>
  </si>
  <si>
    <t>Valor (R$)</t>
  </si>
  <si>
    <t>Salário Base</t>
  </si>
  <si>
    <t>Lucro</t>
  </si>
  <si>
    <t>Art. 2°, § 3º, da Lei 11.457, de 16 de março de 2007.</t>
  </si>
  <si>
    <t>Art. 15, Lei nº 8.036/90 e Art. 7º, III, CF.</t>
  </si>
  <si>
    <t>Art. 30, Lei 8.036, de 11 de maio de 1990.</t>
  </si>
  <si>
    <t>Art. 1º, caput, Decreto-Lei 6.246, de 1944 (SENAI) e art. 4º, caput do Decreto-Lei 8.621, de 1946. (SENAC).</t>
  </si>
  <si>
    <t>Art. 1°, I, 2 c/c art. 3°, ambos do Decreto-Lei 1.146, de 31 de dezembro de 1970.</t>
  </si>
  <si>
    <t>Art. 8º, Lei 8.029, de 12 de abril de 1990.</t>
  </si>
  <si>
    <t>Art. 3º, Inciso I, Decreto 87.043, de 22 de março de 1982.</t>
  </si>
  <si>
    <t>[(1/12)x100] = 8,333% - Art. 7º, VIII, CF/88</t>
  </si>
  <si>
    <t>FUNDAMENTO/METODOLOGIA</t>
  </si>
  <si>
    <t>GRUPO A - ENCARGOS</t>
  </si>
  <si>
    <t>A.01 SEGURIDADE SOCIAL</t>
  </si>
  <si>
    <t>A.02 FGTS</t>
  </si>
  <si>
    <t>A.03 SESI/SESC</t>
  </si>
  <si>
    <t>A.04 SENAI/SENAC</t>
  </si>
  <si>
    <t>A.05 INCRA</t>
  </si>
  <si>
    <t>A.06 SEBRAE</t>
  </si>
  <si>
    <t>A.07 Salário Educação</t>
  </si>
  <si>
    <t>A.08 Riscos Ambientais do Trabalho – RAT x FAP</t>
  </si>
  <si>
    <t>TOTAL - GRUPO A - ENCARGOS</t>
  </si>
  <si>
    <t>TOTAL DA REMUNERAÇÃO (R$)</t>
  </si>
  <si>
    <t>GRUPO B</t>
  </si>
  <si>
    <t>B.01 13º Salário</t>
  </si>
  <si>
    <t>B.03 Aviso Prévio Trabalhado</t>
  </si>
  <si>
    <t>B.04 Auxílio Doença</t>
  </si>
  <si>
    <t>B.05 Acidente de Trabalho</t>
  </si>
  <si>
    <t>B.06 Faltas Legais</t>
  </si>
  <si>
    <t>B.07 Férias sobre Licença Maternidade</t>
  </si>
  <si>
    <t>B.08 Licença Paternidade</t>
  </si>
  <si>
    <t>TOTAL - GRUPO B</t>
  </si>
  <si>
    <t>[(100% / 30) x 7] / 12 = 1,944% - Art. 7º, XXI, CF/88, 477, 487 e ss. da CLT</t>
  </si>
  <si>
    <t>INFORMAÇÕES COMPLEMENTARES</t>
  </si>
  <si>
    <t>GRUPO C</t>
  </si>
  <si>
    <t>C.01 Aviso Prévio Indenizado</t>
  </si>
  <si>
    <t>C.02 Indenização Adicional</t>
  </si>
  <si>
    <t>C.03 Indenização (rescisão sem justa causa – multa de 40% do FGTS)</t>
  </si>
  <si>
    <t>TOTAL - GRUPO C</t>
  </si>
  <si>
    <t>{[0,05x(1/12)]x100} = 0,417% - Art. 7º, XXI, CF/88, 477, 487 e ss. CLT</t>
  </si>
  <si>
    <t>(1x0,40x0,08x100) = 3,200% - Art. 18, §1º da Lei 8.036/90</t>
  </si>
  <si>
    <t>GRUPO D</t>
  </si>
  <si>
    <t>D.01 Incidência dos encargos do grupo A sobre o grupo B</t>
  </si>
  <si>
    <t>TOTAL - GRUPO D</t>
  </si>
  <si>
    <t>GRUPO E</t>
  </si>
  <si>
    <t>E.01 Incidência do FGTS sobre o aviso prévio indenizado</t>
  </si>
  <si>
    <t>TOTAL - GRUPO E</t>
  </si>
  <si>
    <t>A.02 x C.01 = (0,08x0,00417)x100 0,033% - Súmula nº 305 do TST</t>
  </si>
  <si>
    <t>GRUPO F</t>
  </si>
  <si>
    <t>F.01 Incidência dos encargos do Grupo A sobre os valores constantes da base de cálculo referente ao salário maternidade</t>
  </si>
  <si>
    <t>TOTAL - GRUPO F</t>
  </si>
  <si>
    <t>TOTAL - ENCARGOS SOCIAIS (R$)</t>
  </si>
  <si>
    <t>VALOR TOTAL DE REMUNERAÇÃO + ENCARGOS SOCIAIS (R$)</t>
  </si>
  <si>
    <t>Insumos</t>
  </si>
  <si>
    <t>Uniforme</t>
  </si>
  <si>
    <t>TOTAL - INSUMOS (R$)</t>
  </si>
  <si>
    <t>TOTAL DE REMUNERAÇÃO + ENCARGOS SOCIAIS + INSUMOS (R$)</t>
  </si>
  <si>
    <t>LUCRO E DESPESAS INDIRETAS (LDI)</t>
  </si>
  <si>
    <t>Despesas Administrativas/Operacionais</t>
  </si>
  <si>
    <t>TOTAL - LUCRO E DESPESAS INDIRETAS</t>
  </si>
  <si>
    <t>TRIBUTAÇÃO SOBRE FATURAMENTO</t>
  </si>
  <si>
    <t>ISS</t>
  </si>
  <si>
    <t>COFINS</t>
  </si>
  <si>
    <t>PIS</t>
  </si>
  <si>
    <t>TOTAL - TRIBUTAÇÃO SOBRE FATURAMENTO</t>
  </si>
  <si>
    <t>PREÇO MENSAL PARA 1 (UM) EMPREGADO (R$)</t>
  </si>
  <si>
    <t>Item</t>
  </si>
  <si>
    <t>-</t>
  </si>
  <si>
    <t>CBO:</t>
  </si>
  <si>
    <t>Convenção Coletiva de Trabalho/Acordo/ Dissídio Coletivo de Trabalho:</t>
  </si>
  <si>
    <t>BASE DE CÁLCULO PARA TRIBUTO</t>
  </si>
  <si>
    <t>PREÇO ANUAL PARA 1 (UM) POSTO (R$) - PREÇO MENSAL X 12 MESES</t>
  </si>
  <si>
    <t>Outros</t>
  </si>
  <si>
    <t>Elaborado por:</t>
  </si>
  <si>
    <t>Abraão dos Matos Azevedo
Assessor Técnico
Matricula Coren-AM nº 125</t>
  </si>
  <si>
    <t>SEÇÃO I - COMPOSIÇÃO DA REMUNERAÇÃO (R$)</t>
  </si>
  <si>
    <t>SEÇÃO II - ENCARGOS SOCIAIS INCIDENTES SOBRE A REMUNERAÇÃO (R$)</t>
  </si>
  <si>
    <t>SEÇÃO III - INSUMOS</t>
  </si>
  <si>
    <t>Lucro e Despesas Indiretas – LDI:
Para fins de estimativa da CONTRATANTE, em Lucro e Despesas Indiretas - LDI, foram consideradas as despesas administrativas e operacionais (5%) e a margem de lucro (10%).</t>
  </si>
  <si>
    <t>TOTAL DE REMUNERAÇÃO + ENCARGOS SOCIAIS + INSUMOS + INTRAJORNADA + LDI (R$)</t>
  </si>
  <si>
    <t>Os tributos (ISS, COFINS e PIS) foram definidos utilizando o regime de tributação de Lucro PRESUMIDO.</t>
  </si>
  <si>
    <t>TOTAL - GRUPO A   - ENCARGOS</t>
  </si>
  <si>
    <t>TOTAL ENCARGOS SOCIAIS</t>
  </si>
  <si>
    <t>Cesta Básica</t>
  </si>
  <si>
    <t>Plano Odontológico</t>
  </si>
  <si>
    <t>SEÇÃO IV - LDI E TRIBUTAÇÃO</t>
  </si>
  <si>
    <t>Auxilio Alimentação</t>
  </si>
  <si>
    <t>Desconto do Auxilio Alimentação</t>
  </si>
  <si>
    <t>Dedução legal do vale refeição: O valor da dedução do vale refeição está de acordo com o Parágrafo Primeiro, da Cláusula Sétima da CCT (desconto máximo de 10% do Vale Refeição).</t>
  </si>
  <si>
    <t>Cláusula Oitava da CCT</t>
  </si>
  <si>
    <t>Vale Transporte</t>
  </si>
  <si>
    <t>Desconto do Vale Transporte</t>
  </si>
  <si>
    <t>Dedução legal do vale transporte: O valor da dedução do vale transporte está de acordo com o art. 4º, parágrafo único da Lei 7.418, de 16 de dezembro de 1985 e Parágrafo Primeiro, da Cláusula Nona da CCT (desconto máximo de 6% do salário-base).</t>
  </si>
  <si>
    <t>Programa de Qualificação Profissional</t>
  </si>
  <si>
    <t>Unidade de Medida</t>
  </si>
  <si>
    <t>Und.</t>
  </si>
  <si>
    <t>Cargo</t>
  </si>
  <si>
    <t>QUADRO GERAL DE CUSTO</t>
  </si>
  <si>
    <t>5143-20</t>
  </si>
  <si>
    <t>RAT: 3% (Limpeza em prédios e em domicílios – código 8121-4/00, do Anexo V do Decreto nº 3.048/1999) X FAP: 2,000 (Padrão);</t>
  </si>
  <si>
    <t>Equipamento(s) de Proteção Individual - EPIs</t>
  </si>
  <si>
    <t>Lucro Presumido</t>
  </si>
  <si>
    <t>Regime Tributário</t>
  </si>
  <si>
    <t>Descrição</t>
  </si>
  <si>
    <t>Qtde. Anual
(a)</t>
  </si>
  <si>
    <t>Valor Médio Unitário (R$)
(b)</t>
  </si>
  <si>
    <t>Custo Total (R$)
(c = a x b)</t>
  </si>
  <si>
    <t>Agente de Limpeza 44hrs Semanais - UNIFORME</t>
  </si>
  <si>
    <t>Camisa</t>
  </si>
  <si>
    <t>Calça</t>
  </si>
  <si>
    <t>Meias</t>
  </si>
  <si>
    <t>Par</t>
  </si>
  <si>
    <t>Sapato</t>
  </si>
  <si>
    <t>Crachá</t>
  </si>
  <si>
    <t>Custo Global (R$) (∑ do Custo Total) →</t>
  </si>
  <si>
    <t>Custo Mensal (R$) (Custo Global ÷ 12 meses) →</t>
  </si>
  <si>
    <t>Quant. Anual (a)</t>
  </si>
  <si>
    <t>Uni.</t>
  </si>
  <si>
    <t>Protetor facial incolor</t>
  </si>
  <si>
    <t>Custo Global do Grupo (R$) (∑ do Custo Total) →</t>
  </si>
  <si>
    <r>
      <t xml:space="preserve">Custo Mensal de EPI's (R$) (Custo Global </t>
    </r>
    <r>
      <rPr>
        <b/>
        <sz val="10"/>
        <color theme="1"/>
        <rFont val="Calibri"/>
        <family val="2"/>
      </rPr>
      <t>÷</t>
    </r>
    <r>
      <rPr>
        <b/>
        <sz val="10"/>
        <color theme="1"/>
        <rFont val="Arial"/>
        <family val="2"/>
      </rPr>
      <t xml:space="preserve"> 12 meses) →</t>
    </r>
  </si>
  <si>
    <t>Materiais de Limpeza</t>
  </si>
  <si>
    <t>Especificação</t>
  </si>
  <si>
    <t>Papel higiênico neutro de 1ª qualidade em rolão (300m), não reciclado, de boa qualidade, 100% fibras celulósicas, na cor branca. (pacote com 8 rolos).</t>
  </si>
  <si>
    <t>Pct</t>
  </si>
  <si>
    <t>Saco para lixo reforçado capacidade 30 lt. Cor preta. (pct. C/ 100 un.), de 1ª qualidade.</t>
  </si>
  <si>
    <t>Valor Unitário (R$) (b)</t>
  </si>
  <si>
    <t>Local</t>
  </si>
  <si>
    <t>Tabatinga</t>
  </si>
  <si>
    <t>Parintins</t>
  </si>
  <si>
    <t>Máscara respiratória descartável p/vapores orgânicos</t>
  </si>
  <si>
    <t>Quantidade Anual (a)</t>
  </si>
  <si>
    <t>Água sanitária de 1ª qualidade.</t>
  </si>
  <si>
    <t>Litros</t>
  </si>
  <si>
    <t>Álcool etílico hidratado 70º liquido de 1ª qualidade utilizado para superfícies fixas, composto por desnaturante e água.</t>
  </si>
  <si>
    <t>Balde</t>
  </si>
  <si>
    <t>Desinfetante bactericida concentrado, altamente efetivo contra bactérias. Possui alto poder de ação, limpeza e desinfecção. Diluição de 1:25 até 1:100 partes de água.</t>
  </si>
  <si>
    <t xml:space="preserve">Desodorizador de ambiente Spray, fragância lavanda,  360 ml </t>
  </si>
  <si>
    <t>Escova de limpar vaso sanitário</t>
  </si>
  <si>
    <t>Esponja com dupla face multiuso</t>
  </si>
  <si>
    <t>Flanela branca tamanho 40x60 cm</t>
  </si>
  <si>
    <t>Inseticida Spray 360 ml</t>
  </si>
  <si>
    <t>Limpador concentrado multiuso, biodegradável, indicado para limpeza de superfícies, com diluição de até 1:20 partes de água.</t>
  </si>
  <si>
    <t>Limpador de vidros de 1ª qualidade (janelas e esquadrias)</t>
  </si>
  <si>
    <t>Lustra Móveis lavanda 200 ml</t>
  </si>
  <si>
    <t>Luva de 1ª qualidade indicada para limpeza em geral, forrada, anti-derrapante e resistente.</t>
  </si>
  <si>
    <t>Pá de lixo plástica com cabo</t>
  </si>
  <si>
    <t>Pano de chão de saco alvejado especial 40x70, para limpeza de piso - cor branca</t>
  </si>
  <si>
    <t xml:space="preserve">Papel toalha em bobina (20cmx200m), 100% celulose virgem e de alta absorção. </t>
  </si>
  <si>
    <t>Pastilhas sanitárias (Bloco p/ Caixa Acoplada)</t>
  </si>
  <si>
    <t>Rodo com 2 borrachas - 40cm de largura, com cabo</t>
  </si>
  <si>
    <t>Sabão em pó de 1ª qualidade.</t>
  </si>
  <si>
    <t>Kg</t>
  </si>
  <si>
    <t>Sabonete líquido concentrado de 1ª qualidade, formulação balanceada com hidratante.</t>
  </si>
  <si>
    <t>Saponáceo Liquido, embalagem com 300ml</t>
  </si>
  <si>
    <t>Vassoura de pelo sintético com 40cm de largura, com cabo</t>
  </si>
  <si>
    <t>Total Geral Anual (∑ da Coluna) →</t>
  </si>
  <si>
    <t>Total Anual (R$) (c = a x b)</t>
  </si>
  <si>
    <t>Material de Limpeza</t>
  </si>
  <si>
    <r>
      <t xml:space="preserve">Total Geral Mensal (Total Geral Anual </t>
    </r>
    <r>
      <rPr>
        <b/>
        <sz val="10"/>
        <color theme="1"/>
        <rFont val="Calibri"/>
        <family val="2"/>
      </rPr>
      <t>÷</t>
    </r>
    <r>
      <rPr>
        <b/>
        <sz val="10"/>
        <color theme="1"/>
        <rFont val="Arial"/>
        <family val="2"/>
      </rPr>
      <t xml:space="preserve"> 12 meses) →</t>
    </r>
  </si>
  <si>
    <t>TOTAL</t>
  </si>
  <si>
    <t>IV - LDI E TRIBUTAÇÃO</t>
  </si>
  <si>
    <t>III - INSUMOS</t>
  </si>
  <si>
    <t>II - ENCARGOS SOCIAIS INCIDENTES SOBRE A REMUNERAÇÃO</t>
  </si>
  <si>
    <t>I - COMPOSIÇÃO DE REMUNERAÇÃO</t>
  </si>
  <si>
    <t>R$</t>
  </si>
  <si>
    <t>Componentes</t>
  </si>
  <si>
    <t>A licitante deve elaborar sua proposta e, por conseguinte, sua planilha com base no regime de tributação ao qual estará submetida durante a execução do contrato.</t>
  </si>
  <si>
    <t>Obs.: Eventuais custos não previstos expressamente na memória de cálculo devem ser cobertos pelo LDI (Lucro e Despesas Indiretas).</t>
  </si>
  <si>
    <t>Cláusula Décima Oitava da CCT.</t>
  </si>
  <si>
    <t>Cláusula Décima Segunda da CCT.</t>
  </si>
  <si>
    <t>Assistência Social e Familiar</t>
  </si>
  <si>
    <t>Cláusula Décima da CCT.</t>
  </si>
  <si>
    <t>O vale transporte foi baseado no preço da passagem praticada na cidade de Manaus-AM (R$ 3,80), em julho de 2022, considerando o trajeto de ida e volta residência/Coren-AM.
Vale transporte = VTx2x22
Onde: 
O 22 é o número médio de dias efetivamente trabalhado pelos empregados no mês.</t>
  </si>
  <si>
    <t>Vale refeição: O valor do vale refeição foi calculado de acordo com a convenção coletiva de trabalho firmada entre os sindicatos das categorias profissionais e econômicas envolvidas na prestação dos serviços ora licitados.
Vale refeição = valor diário x 22
Onde: 
O valor diário é R$ 15,00, conforme Cláusula Sétima da CCT.</t>
  </si>
  <si>
    <t>Referencia</t>
  </si>
  <si>
    <t>[0,02x(1/12)]x100 = 0,167% - Art. 9º da Lei nº 7.238, de 1984</t>
  </si>
  <si>
    <t>C.01 - Estimativa de que 5% (cinco por cento) dos empregados serão substituídos durante um ano.
C.02 - Estimativa de que 2% (dois por cento) dos empregados serão demitidos em situação de recebimento de indenização adicional. 
C.03 - Multa de 40% do FGTS em relação aos trabalhadores contratados.</t>
  </si>
  <si>
    <t>[(1/12)x100] = 8,333% - Art. 7º, XVII, CF/88 e 129 da CLT</t>
  </si>
  <si>
    <t>B.09 Férias adquiridas (não usufruídas)</t>
  </si>
  <si>
    <t>{[(5/30)/12] x 0,015} x 100 = 0,021% - Art. 7º, XIX, CF/88 e 10, §1º, da ADCT</t>
  </si>
  <si>
    <t>[(0,1111 x 0,02 x 0,333) x 100] = 0,074% - Impacto do item férias sobre a licença maternidade</t>
  </si>
  <si>
    <t>{[(1/30)/12] x 100} = 0,277%- Art. 473 da CLT</t>
  </si>
  <si>
    <t>{[(15/30/12] x 0,08} x 100 = 0,333% - Art. 19 a 23 da Lei nº 8.213/91</t>
  </si>
  <si>
    <t>{[(5/30)/12] x 100} = 1,389% - Art. 59 e ss. Da Lei nº 8.213/91</t>
  </si>
  <si>
    <t>{[(1/3]/12]x100} = 2,778% - Art. 7º, XVII, CF/88</t>
  </si>
  <si>
    <t>B.02 Férias (incluindo 1/3 constitucional)</t>
  </si>
  <si>
    <t>B.03 - Redução de 7 dias ou de 2h por dia para 100 % dos empregados. Percentual relativo a contrato de 12 (doze) meses. 
B.04 - Estimativa de 5 (cinco) dias de licença p/ano. 
B.05 - Estimativa de 1 (uma) licença de 15 (quinze) dias por ano para 8% (oito por cento) dos empregados. 
B.06 - Estimativa de 1 (uma) ausência por ano. 
B.07 - Estimativa de 2% (dois por cento) dos empregados usufruindo de 4 (quatro) meses de licença por ano.
B.08 - Estimativa de 1,5% (um inteiro e cinco décimos por cento) dos empregados usufruindo 5 (cinco) dias da licença por ano.</t>
  </si>
  <si>
    <t>Convenção Coletiva de Trabalho (CCT) - Nº Registro no MTE: AM000546/2021 - Nº Processo: 13621.120880/2021-15 - Nº Solicitação: MR069260/2020</t>
  </si>
  <si>
    <t>Posto</t>
  </si>
  <si>
    <t>Planilha de Uniforme</t>
  </si>
  <si>
    <t>Planilha de EPIs</t>
  </si>
  <si>
    <t>Planilha de Material</t>
  </si>
  <si>
    <t>D.01 = 0,3980 x 0,23483 = 9,346%</t>
  </si>
  <si>
    <t>F.01 = (Encargos Grupo A) x (Salário + 13º/12) x 4/12 x 2%, em que:
Encargos do Grupo A = 0,3780;
Salário + 13º = 13 salários;
12 = número e meses em um ano;
4/12 = período de 4 meses de licença em um ano;
2% = Estimativa de que 2% dos empregados usufruirão da licença maternidade de 4 meses em um ano.
F.01 = 0,3980x(13/12)x(4/12)x(2/100) = 0,287%</t>
  </si>
  <si>
    <t>PREÇO DA DIARIA PARA 1 (UM) POSTO (R$) - PREÇO MENSAL ÷ 30 
DIAS</t>
  </si>
  <si>
    <t>Serviço de Limpeza e Conservação com Material, Equipamentos e demais insumos.</t>
  </si>
  <si>
    <t>Quantidade Total de Diárias no Ano (a)</t>
  </si>
  <si>
    <t>Vlr. da Diária R$ (b)</t>
  </si>
  <si>
    <t>Vlr. Total R$ (c = a x b)</t>
  </si>
  <si>
    <t>Vlr. Global R$ →</t>
  </si>
  <si>
    <t>Fonte: Valores extraído do Banco de Preços.</t>
  </si>
  <si>
    <t>Fonte: Contrato Coren/AM nº 024/2020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</si>
</sst>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164" formatCode="0.000"/>
    <numFmt numFmtId="165" formatCode="0.000%"/>
    <numFmt numFmtId="166" formatCode="[$-F800]dddd\,\ mmmm\ dd\,\ yyyy"/>
    <numFmt numFmtId="167" formatCode="&quot;R$&quot;\ #,##0.00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0"/>
      <color theme="1"/>
      <name val="Calibri"/>
      <family val="2"/>
    </font>
    <font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theme="0" tint="-4.9989318521683403E-2"/>
      </left>
      <right style="double">
        <color theme="0" tint="-4.9989318521683403E-2"/>
      </right>
      <top style="double">
        <color theme="0" tint="-4.9989318521683403E-2"/>
      </top>
      <bottom style="double">
        <color theme="0" tint="-4.9989318521683403E-2"/>
      </bottom>
      <diagonal/>
    </border>
    <border>
      <left style="double">
        <color theme="0" tint="-4.9989318521683403E-2"/>
      </left>
      <right/>
      <top style="double">
        <color theme="0" tint="-4.9989318521683403E-2"/>
      </top>
      <bottom style="double">
        <color theme="0" tint="-4.9989318521683403E-2"/>
      </bottom>
      <diagonal/>
    </border>
    <border>
      <left/>
      <right style="double">
        <color theme="0" tint="-4.9989318521683403E-2"/>
      </right>
      <top style="double">
        <color theme="0" tint="-4.9989318521683403E-2"/>
      </top>
      <bottom style="double">
        <color theme="0" tint="-4.9989318521683403E-2"/>
      </bottom>
      <diagonal/>
    </border>
    <border>
      <left style="double">
        <color theme="0" tint="-4.9989318521683403E-2"/>
      </left>
      <right/>
      <top/>
      <bottom style="thin">
        <color indexed="64"/>
      </bottom>
      <diagonal/>
    </border>
    <border>
      <left/>
      <right/>
      <top style="double">
        <color theme="0" tint="-4.9989318521683403E-2"/>
      </top>
      <bottom style="double">
        <color theme="0" tint="-4.9989318521683403E-2"/>
      </bottom>
      <diagonal/>
    </border>
  </borders>
  <cellStyleXfs count="7">
    <xf numFmtId="0" fontId="0" fillId="0" borderId="0"/>
    <xf numFmtId="0" fontId="1" fillId="0" borderId="0"/>
    <xf numFmtId="0" fontId="1" fillId="0" borderId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6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 wrapText="1"/>
    </xf>
    <xf numFmtId="165" fontId="1" fillId="2" borderId="1" xfId="4" quotePrefix="1" applyNumberFormat="1" applyFont="1" applyFill="1" applyBorder="1" applyAlignment="1" applyProtection="1">
      <alignment horizontal="center" vertical="center"/>
    </xf>
    <xf numFmtId="165" fontId="1" fillId="0" borderId="1" xfId="4" quotePrefix="1" applyNumberFormat="1" applyFont="1" applyFill="1" applyBorder="1" applyAlignment="1" applyProtection="1">
      <alignment horizontal="center" vertical="center"/>
    </xf>
    <xf numFmtId="165" fontId="1" fillId="2" borderId="1" xfId="5" applyNumberFormat="1" applyFont="1" applyFill="1" applyBorder="1" applyAlignment="1" applyProtection="1">
      <alignment horizontal="center" vertical="center"/>
    </xf>
    <xf numFmtId="165" fontId="1" fillId="2" borderId="1" xfId="5" quotePrefix="1" applyNumberFormat="1" applyFont="1" applyFill="1" applyBorder="1" applyAlignment="1" applyProtection="1">
      <alignment horizontal="center" vertical="center"/>
    </xf>
    <xf numFmtId="10" fontId="3" fillId="0" borderId="1" xfId="3" applyNumberFormat="1" applyFont="1" applyBorder="1" applyAlignment="1">
      <alignment horizontal="center" vertical="center" wrapText="1"/>
    </xf>
    <xf numFmtId="165" fontId="3" fillId="0" borderId="1" xfId="3" applyNumberFormat="1" applyFont="1" applyBorder="1" applyAlignment="1">
      <alignment horizontal="center" vertical="center" wrapText="1"/>
    </xf>
    <xf numFmtId="165" fontId="7" fillId="2" borderId="1" xfId="5" quotePrefix="1" applyNumberFormat="1" applyFont="1" applyFill="1" applyBorder="1" applyAlignment="1" applyProtection="1">
      <alignment horizontal="center" vertical="center"/>
    </xf>
    <xf numFmtId="165" fontId="3" fillId="0" borderId="1" xfId="3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8" fillId="4" borderId="10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165" fontId="4" fillId="5" borderId="1" xfId="3" applyNumberFormat="1" applyFont="1" applyFill="1" applyBorder="1" applyAlignment="1">
      <alignment horizontal="center"/>
    </xf>
    <xf numFmtId="4" fontId="4" fillId="5" borderId="1" xfId="0" applyNumberFormat="1" applyFont="1" applyFill="1" applyBorder="1" applyAlignment="1">
      <alignment horizontal="center" vertical="center" wrapText="1"/>
    </xf>
    <xf numFmtId="165" fontId="4" fillId="5" borderId="1" xfId="3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0" fontId="4" fillId="5" borderId="1" xfId="3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center" vertical="center" wrapText="1"/>
    </xf>
    <xf numFmtId="10" fontId="3" fillId="7" borderId="1" xfId="3" applyNumberFormat="1" applyFont="1" applyFill="1" applyBorder="1" applyAlignment="1">
      <alignment horizontal="center" vertical="center" wrapText="1"/>
    </xf>
    <xf numFmtId="2" fontId="3" fillId="7" borderId="1" xfId="0" applyNumberFormat="1" applyFont="1" applyFill="1" applyBorder="1" applyAlignment="1">
      <alignment horizontal="center" vertical="center" wrapText="1"/>
    </xf>
    <xf numFmtId="165" fontId="3" fillId="7" borderId="1" xfId="3" applyNumberFormat="1" applyFont="1" applyFill="1" applyBorder="1" applyAlignment="1">
      <alignment horizontal="right" vertical="center" wrapText="1"/>
    </xf>
    <xf numFmtId="4" fontId="3" fillId="7" borderId="1" xfId="0" applyNumberFormat="1" applyFont="1" applyFill="1" applyBorder="1" applyAlignment="1">
      <alignment horizontal="center" vertical="center" wrapText="1"/>
    </xf>
    <xf numFmtId="4" fontId="3" fillId="7" borderId="1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vertical="center" wrapText="1"/>
    </xf>
    <xf numFmtId="4" fontId="3" fillId="7" borderId="1" xfId="0" applyNumberFormat="1" applyFont="1" applyFill="1" applyBorder="1" applyAlignment="1">
      <alignment horizontal="center" vertical="center"/>
    </xf>
    <xf numFmtId="0" fontId="3" fillId="7" borderId="1" xfId="0" applyFont="1" applyFill="1" applyBorder="1" applyAlignment="1">
      <alignment vertical="center"/>
    </xf>
    <xf numFmtId="4" fontId="5" fillId="7" borderId="1" xfId="0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165" fontId="1" fillId="7" borderId="1" xfId="5" quotePrefix="1" applyNumberFormat="1" applyFont="1" applyFill="1" applyBorder="1" applyAlignment="1" applyProtection="1">
      <alignment horizontal="center" vertical="center"/>
    </xf>
    <xf numFmtId="165" fontId="1" fillId="7" borderId="1" xfId="4" quotePrefix="1" applyNumberFormat="1" applyFont="1" applyFill="1" applyBorder="1" applyAlignment="1" applyProtection="1">
      <alignment horizontal="center" vertical="center"/>
    </xf>
    <xf numFmtId="0" fontId="3" fillId="7" borderId="6" xfId="0" applyFont="1" applyFill="1" applyBorder="1" applyAlignment="1">
      <alignment horizontal="center" vertical="center" wrapText="1"/>
    </xf>
    <xf numFmtId="165" fontId="1" fillId="7" borderId="1" xfId="5" applyNumberFormat="1" applyFont="1" applyFill="1" applyBorder="1" applyAlignment="1" applyProtection="1">
      <alignment horizontal="center" vertical="center"/>
    </xf>
    <xf numFmtId="164" fontId="3" fillId="7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4" fontId="4" fillId="5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4" fontId="1" fillId="7" borderId="1" xfId="0" applyNumberFormat="1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/>
    </xf>
    <xf numFmtId="0" fontId="9" fillId="4" borderId="12" xfId="0" applyFont="1" applyFill="1" applyBorder="1" applyAlignment="1">
      <alignment horizontal="center" vertical="center" wrapText="1"/>
    </xf>
    <xf numFmtId="44" fontId="4" fillId="5" borderId="12" xfId="0" applyNumberFormat="1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 wrapText="1"/>
    </xf>
    <xf numFmtId="4" fontId="3" fillId="7" borderId="1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0" xfId="0" applyFont="1"/>
    <xf numFmtId="167" fontId="4" fillId="5" borderId="1" xfId="0" applyNumberFormat="1" applyFont="1" applyFill="1" applyBorder="1" applyAlignment="1">
      <alignment horizontal="center" vertical="center" wrapText="1"/>
    </xf>
    <xf numFmtId="167" fontId="3" fillId="7" borderId="1" xfId="0" applyNumberFormat="1" applyFont="1" applyFill="1" applyBorder="1" applyAlignment="1">
      <alignment horizontal="center" vertical="center" wrapText="1"/>
    </xf>
    <xf numFmtId="167" fontId="3" fillId="0" borderId="1" xfId="0" applyNumberFormat="1" applyFont="1" applyBorder="1" applyAlignment="1">
      <alignment horizontal="center" vertical="center" wrapText="1"/>
    </xf>
    <xf numFmtId="0" fontId="3" fillId="8" borderId="1" xfId="0" applyFont="1" applyFill="1" applyBorder="1" applyAlignment="1">
      <alignment vertical="center" wrapText="1"/>
    </xf>
    <xf numFmtId="2" fontId="3" fillId="7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9" fontId="5" fillId="2" borderId="1" xfId="3" applyFont="1" applyFill="1" applyBorder="1" applyAlignment="1">
      <alignment horizontal="center" vertical="center"/>
    </xf>
    <xf numFmtId="9" fontId="5" fillId="7" borderId="1" xfId="3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left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165" fontId="1" fillId="8" borderId="1" xfId="5" quotePrefix="1" applyNumberFormat="1" applyFont="1" applyFill="1" applyBorder="1" applyAlignment="1" applyProtection="1">
      <alignment horizontal="center" vertical="center"/>
    </xf>
    <xf numFmtId="0" fontId="3" fillId="7" borderId="12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center"/>
    </xf>
    <xf numFmtId="166" fontId="8" fillId="4" borderId="12" xfId="0" applyNumberFormat="1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3" fillId="0" borderId="1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5" borderId="13" xfId="0" applyFont="1" applyFill="1" applyBorder="1" applyAlignment="1">
      <alignment horizontal="right" vertical="center"/>
    </xf>
    <xf numFmtId="0" fontId="4" fillId="5" borderId="16" xfId="0" applyFont="1" applyFill="1" applyBorder="1" applyAlignment="1">
      <alignment horizontal="right" vertical="center"/>
    </xf>
    <xf numFmtId="0" fontId="4" fillId="5" borderId="14" xfId="0" applyFont="1" applyFill="1" applyBorder="1" applyAlignment="1">
      <alignment horizontal="right" vertical="center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3" fillId="7" borderId="6" xfId="0" applyFont="1" applyFill="1" applyBorder="1" applyAlignment="1">
      <alignment vertical="center" wrapText="1"/>
    </xf>
    <xf numFmtId="0" fontId="3" fillId="7" borderId="5" xfId="0" applyFont="1" applyFill="1" applyBorder="1" applyAlignment="1">
      <alignment vertical="center" wrapText="1"/>
    </xf>
    <xf numFmtId="0" fontId="4" fillId="5" borderId="6" xfId="0" applyFont="1" applyFill="1" applyBorder="1" applyAlignment="1">
      <alignment vertical="center" wrapText="1"/>
    </xf>
    <xf numFmtId="0" fontId="4" fillId="5" borderId="5" xfId="0" applyFont="1" applyFill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right" vertical="center" wrapText="1"/>
    </xf>
    <xf numFmtId="0" fontId="4" fillId="5" borderId="5" xfId="0" applyFont="1" applyFill="1" applyBorder="1" applyAlignment="1">
      <alignment horizontal="right" vertical="center" wrapText="1"/>
    </xf>
    <xf numFmtId="0" fontId="4" fillId="5" borderId="3" xfId="0" applyFont="1" applyFill="1" applyBorder="1" applyAlignment="1">
      <alignment horizontal="righ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 wrapText="1"/>
    </xf>
    <xf numFmtId="0" fontId="3" fillId="7" borderId="5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left" vertical="center"/>
    </xf>
    <xf numFmtId="0" fontId="3" fillId="7" borderId="5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3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left" vertical="center" wrapText="1"/>
    </xf>
    <xf numFmtId="0" fontId="8" fillId="4" borderId="5" xfId="0" applyFont="1" applyFill="1" applyBorder="1" applyAlignment="1">
      <alignment horizontal="left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4" fontId="3" fillId="0" borderId="1" xfId="0" applyNumberFormat="1" applyFont="1" applyBorder="1" applyAlignment="1">
      <alignment horizontal="center" vertical="center"/>
    </xf>
    <xf numFmtId="4" fontId="3" fillId="7" borderId="6" xfId="0" applyNumberFormat="1" applyFont="1" applyFill="1" applyBorder="1" applyAlignment="1">
      <alignment horizontal="center" vertical="center"/>
    </xf>
    <xf numFmtId="4" fontId="3" fillId="7" borderId="5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4" fontId="3" fillId="7" borderId="1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4" fillId="5" borderId="6" xfId="0" applyFont="1" applyFill="1" applyBorder="1" applyAlignment="1">
      <alignment horizontal="right" vertical="center"/>
    </xf>
    <xf numFmtId="0" fontId="4" fillId="5" borderId="3" xfId="0" applyFont="1" applyFill="1" applyBorder="1" applyAlignment="1">
      <alignment horizontal="right" vertical="center"/>
    </xf>
    <xf numFmtId="0" fontId="4" fillId="5" borderId="5" xfId="0" applyFont="1" applyFill="1" applyBorder="1" applyAlignment="1">
      <alignment horizontal="right" vertical="center"/>
    </xf>
    <xf numFmtId="4" fontId="4" fillId="5" borderId="6" xfId="0" applyNumberFormat="1" applyFont="1" applyFill="1" applyBorder="1" applyAlignment="1">
      <alignment horizontal="center" vertical="center"/>
    </xf>
    <xf numFmtId="4" fontId="4" fillId="5" borderId="5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right" vertical="center"/>
    </xf>
    <xf numFmtId="4" fontId="4" fillId="5" borderId="1" xfId="0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right" vertical="center"/>
    </xf>
    <xf numFmtId="0" fontId="4" fillId="5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center" vertical="center" wrapText="1"/>
    </xf>
  </cellXfs>
  <cellStyles count="7">
    <cellStyle name="Normal" xfId="0" builtinId="0"/>
    <cellStyle name="Normal 2 2" xfId="1" xr:uid="{00000000-0005-0000-0000-000001000000}"/>
    <cellStyle name="Normal 2 2 2" xfId="6" xr:uid="{1E097E8A-34D9-48BB-A7D3-C42B4384A7A0}"/>
    <cellStyle name="Porcentagem" xfId="3" builtinId="5"/>
    <cellStyle name="Porcentagem 10 2" xfId="5" xr:uid="{19BD54D8-2E3C-4D39-BD49-13A42D1DDBBA}"/>
    <cellStyle name="Porcentagem 13" xfId="4" xr:uid="{35DEB145-C009-4447-8DC4-3266326AD0FE}"/>
    <cellStyle name="Separador de milhares 2_ORÇAMENTO matureia corrigido (DEZ 2009)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374650</xdr:colOff>
      <xdr:row>85</xdr:row>
      <xdr:rowOff>40219</xdr:rowOff>
    </xdr:from>
    <xdr:ext cx="2178032" cy="34804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D47E7C94-92C8-459D-ACBB-A4531309A3BE}"/>
                </a:ext>
              </a:extLst>
            </xdr:cNvPr>
            <xdr:cNvSpPr txBox="1"/>
          </xdr:nvSpPr>
          <xdr:spPr>
            <a:xfrm>
              <a:off x="2809875" y="15061144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Base</m:t>
                    </m:r>
                    <m:r>
                      <m:rPr>
                        <m:nor/>
                      </m:rPr>
                      <a:rPr lang="pt-BR" sz="1100" b="0" i="0">
                        <a:latin typeface="Cambria Math" panose="02040503050406030204" pitchFamily="18" charset="0"/>
                      </a:rPr>
                      <m:t> = </m:t>
                    </m:r>
                    <m:f>
                      <m:fPr>
                        <m:ctrlPr>
                          <a:rPr lang="pt-BR" sz="1100" b="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Composi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o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+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III</m:t>
                        </m:r>
                        <m:r>
                          <a:rPr lang="pt-BR" sz="1100" b="0" i="0">
                            <a:latin typeface="Cambria Math" panose="02040503050406030204" pitchFamily="18" charset="0"/>
                          </a:rPr>
                          <m:t>+</m:t>
                        </m:r>
                        <m:r>
                          <m:rPr>
                            <m:sty m:val="p"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IV</m:t>
                        </m:r>
                      </m:num>
                      <m:den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1 −(%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tributos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÷</m:t>
                        </m:r>
                        <m:r>
                          <m:rPr>
                            <m:nor/>
                          </m:rPr>
                          <a:rPr lang="pt-BR" sz="1100" b="0" i="0">
                            <a:latin typeface="Cambria Math" panose="02040503050406030204" pitchFamily="18" charset="0"/>
                          </a:rPr>
                          <m:t>100)</m:t>
                        </m:r>
                      </m:den>
                    </m:f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D47E7C94-92C8-459D-ACBB-A4531309A3BE}"/>
                </a:ext>
              </a:extLst>
            </xdr:cNvPr>
            <xdr:cNvSpPr txBox="1"/>
          </xdr:nvSpPr>
          <xdr:spPr>
            <a:xfrm>
              <a:off x="2809875" y="15061144"/>
              <a:ext cx="2178032" cy="34804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0" i="0">
                  <a:latin typeface="Cambria Math" panose="02040503050406030204" pitchFamily="18" charset="0"/>
                </a:rPr>
                <a:t>"Base = "  ("Composição I + II" +III+IV)/"1 −(% tributos ÷100)" </a:t>
              </a:r>
              <a:endParaRPr lang="pt-BR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990EA-80D4-4F73-9300-7B98F1CC0A8A}">
  <sheetPr>
    <pageSetUpPr fitToPage="1"/>
  </sheetPr>
  <dimension ref="A1:F12"/>
  <sheetViews>
    <sheetView tabSelected="1" workbookViewId="0">
      <selection activeCell="F9" sqref="F9"/>
    </sheetView>
  </sheetViews>
  <sheetFormatPr defaultRowHeight="14.4" x14ac:dyDescent="0.3"/>
  <cols>
    <col min="2" max="2" width="24.44140625" customWidth="1"/>
    <col min="3" max="3" width="10.77734375" customWidth="1"/>
    <col min="4" max="4" width="18.21875" bestFit="1" customWidth="1"/>
    <col min="5" max="5" width="18.21875" customWidth="1"/>
    <col min="6" max="6" width="18.77734375" customWidth="1"/>
    <col min="7" max="7" width="14.5546875" customWidth="1"/>
  </cols>
  <sheetData>
    <row r="1" spans="1:6" ht="15.6" thickTop="1" thickBot="1" x14ac:dyDescent="0.35">
      <c r="A1" s="87" t="s">
        <v>104</v>
      </c>
      <c r="B1" s="87"/>
      <c r="C1" s="87"/>
      <c r="D1" s="87"/>
      <c r="E1" s="87"/>
      <c r="F1" s="87"/>
    </row>
    <row r="2" spans="1:6" ht="38.1" customHeight="1" thickTop="1" thickBot="1" x14ac:dyDescent="0.35">
      <c r="A2" s="66" t="s">
        <v>73</v>
      </c>
      <c r="B2" s="66" t="s">
        <v>103</v>
      </c>
      <c r="C2" s="66" t="s">
        <v>134</v>
      </c>
      <c r="D2" s="67" t="s">
        <v>204</v>
      </c>
      <c r="E2" s="67" t="s">
        <v>205</v>
      </c>
      <c r="F2" s="67" t="s">
        <v>206</v>
      </c>
    </row>
    <row r="3" spans="1:6" ht="54" thickTop="1" thickBot="1" x14ac:dyDescent="0.35">
      <c r="A3" s="69">
        <v>1</v>
      </c>
      <c r="B3" s="86" t="s">
        <v>203</v>
      </c>
      <c r="C3" s="70" t="s">
        <v>135</v>
      </c>
      <c r="D3" s="70">
        <v>53</v>
      </c>
      <c r="E3" s="71">
        <f>'Agente de Limpeza'!D96</f>
        <v>137.63</v>
      </c>
      <c r="F3" s="71">
        <f>ROUND(D3*E3,2)</f>
        <v>7294.39</v>
      </c>
    </row>
    <row r="4" spans="1:6" ht="54" thickTop="1" thickBot="1" x14ac:dyDescent="0.35">
      <c r="A4" s="69">
        <v>2</v>
      </c>
      <c r="B4" s="86" t="s">
        <v>203</v>
      </c>
      <c r="C4" s="70" t="s">
        <v>136</v>
      </c>
      <c r="D4" s="70">
        <v>53</v>
      </c>
      <c r="E4" s="71">
        <f>'Agente de Limpeza'!D96</f>
        <v>137.63</v>
      </c>
      <c r="F4" s="71">
        <f>ROUND(D4*E4,2)</f>
        <v>7294.39</v>
      </c>
    </row>
    <row r="5" spans="1:6" ht="15.6" thickTop="1" thickBot="1" x14ac:dyDescent="0.35">
      <c r="A5" s="94" t="s">
        <v>207</v>
      </c>
      <c r="B5" s="95"/>
      <c r="C5" s="95"/>
      <c r="D5" s="95"/>
      <c r="E5" s="96"/>
      <c r="F5" s="68">
        <f>ROUND(SUM(F3:F4),2)</f>
        <v>14588.78</v>
      </c>
    </row>
    <row r="6" spans="1:6" ht="5.0999999999999996" customHeight="1" thickTop="1" thickBot="1" x14ac:dyDescent="0.35"/>
    <row r="7" spans="1:6" ht="15.6" thickTop="1" thickBot="1" x14ac:dyDescent="0.35">
      <c r="E7" s="88">
        <f ca="1">TODAY()</f>
        <v>45036</v>
      </c>
      <c r="F7" s="88"/>
    </row>
    <row r="8" spans="1:6" ht="15" thickTop="1" x14ac:dyDescent="0.3"/>
    <row r="10" spans="1:6" ht="15" thickBot="1" x14ac:dyDescent="0.35"/>
    <row r="11" spans="1:6" ht="15.6" thickTop="1" thickBot="1" x14ac:dyDescent="0.35">
      <c r="A11" s="89" t="s">
        <v>80</v>
      </c>
      <c r="B11" s="90"/>
      <c r="C11" s="92"/>
      <c r="D11" s="93"/>
      <c r="E11" s="93"/>
      <c r="F11" s="20"/>
    </row>
    <row r="12" spans="1:6" ht="44.55" customHeight="1" thickTop="1" x14ac:dyDescent="0.3">
      <c r="A12" s="20"/>
      <c r="B12" s="20"/>
      <c r="C12" s="91" t="s">
        <v>81</v>
      </c>
      <c r="D12" s="91"/>
      <c r="E12" s="91"/>
      <c r="F12" s="20"/>
    </row>
  </sheetData>
  <mergeCells count="6">
    <mergeCell ref="A1:F1"/>
    <mergeCell ref="E7:F7"/>
    <mergeCell ref="A11:B11"/>
    <mergeCell ref="C12:E12"/>
    <mergeCell ref="C11:E11"/>
    <mergeCell ref="A5:E5"/>
  </mergeCells>
  <pageMargins left="0.23622047244094491" right="0.23622047244094491" top="1.5354330708661419" bottom="1.1417322834645669" header="0.9055118110236221" footer="0.31496062992125984"/>
  <pageSetup scale="91" fitToHeight="0" orientation="landscape" r:id="rId1"/>
  <headerFooter>
    <oddHeader>&amp;C&amp;"Arial Black,Normal"&amp;16COREN-AM&amp;"-,Regular"&amp;11 &amp;"Arial Black,Normal"&amp;14-  Composição de Custo da Mão de Obra com Material - Diarista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D433B-5B31-4C6C-92FD-2B4C5EFC44F1}">
  <sheetPr>
    <pageSetUpPr fitToPage="1"/>
  </sheetPr>
  <dimension ref="A1:L112"/>
  <sheetViews>
    <sheetView view="pageBreakPreview" zoomScaleNormal="100" zoomScaleSheetLayoutView="100" workbookViewId="0">
      <selection activeCell="E3" sqref="E3"/>
    </sheetView>
  </sheetViews>
  <sheetFormatPr defaultRowHeight="14.4" x14ac:dyDescent="0.3"/>
  <cols>
    <col min="1" max="1" width="33.44140625" customWidth="1"/>
    <col min="2" max="2" width="14.5546875" customWidth="1"/>
    <col min="3" max="3" width="10.77734375" customWidth="1"/>
    <col min="4" max="4" width="12.21875" customWidth="1"/>
    <col min="5" max="5" width="55.5546875" customWidth="1"/>
  </cols>
  <sheetData>
    <row r="1" spans="1:12" x14ac:dyDescent="0.3">
      <c r="A1" s="133" t="s">
        <v>0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</row>
    <row r="2" spans="1:12" ht="30.6" customHeight="1" x14ac:dyDescent="0.3">
      <c r="A2" s="22" t="s">
        <v>2</v>
      </c>
      <c r="B2" s="134" t="str">
        <f>'Quadro Geral de Custo'!B3</f>
        <v>Serviço de Limpeza e Conservação com Material, Equipamentos e demais insumos.</v>
      </c>
      <c r="C2" s="135"/>
      <c r="D2" s="136"/>
      <c r="E2" s="2"/>
    </row>
    <row r="3" spans="1:12" ht="15" customHeight="1" x14ac:dyDescent="0.3">
      <c r="A3" s="22" t="s">
        <v>75</v>
      </c>
      <c r="B3" s="130" t="s">
        <v>105</v>
      </c>
      <c r="C3" s="131"/>
      <c r="D3" s="132"/>
      <c r="E3" s="2"/>
    </row>
    <row r="4" spans="1:12" ht="15" customHeight="1" x14ac:dyDescent="0.3">
      <c r="A4" s="23" t="s">
        <v>1</v>
      </c>
      <c r="B4" s="134" t="s">
        <v>196</v>
      </c>
      <c r="C4" s="135"/>
      <c r="D4" s="136"/>
      <c r="E4" s="2"/>
    </row>
    <row r="5" spans="1:12" ht="26.4" x14ac:dyDescent="0.3">
      <c r="A5" s="23" t="s">
        <v>3</v>
      </c>
      <c r="B5" s="130">
        <v>1</v>
      </c>
      <c r="C5" s="131"/>
      <c r="D5" s="132"/>
      <c r="E5" s="2"/>
    </row>
    <row r="6" spans="1:12" ht="65.55" customHeight="1" x14ac:dyDescent="0.3">
      <c r="A6" s="23" t="s">
        <v>76</v>
      </c>
      <c r="B6" s="134" t="s">
        <v>195</v>
      </c>
      <c r="C6" s="135"/>
      <c r="D6" s="136"/>
      <c r="E6" s="2"/>
    </row>
    <row r="7" spans="1:12" ht="20.100000000000001" customHeight="1" x14ac:dyDescent="0.3">
      <c r="A7" s="23" t="s">
        <v>109</v>
      </c>
      <c r="B7" s="130" t="s">
        <v>108</v>
      </c>
      <c r="C7" s="131"/>
      <c r="D7" s="132"/>
      <c r="E7" s="2"/>
    </row>
    <row r="8" spans="1:12" ht="15" customHeight="1" x14ac:dyDescent="0.3">
      <c r="A8" s="2"/>
      <c r="B8" s="3"/>
      <c r="C8" s="2"/>
      <c r="D8" s="2"/>
      <c r="E8" s="2"/>
    </row>
    <row r="9" spans="1:12" x14ac:dyDescent="0.3">
      <c r="A9" s="137" t="s">
        <v>4</v>
      </c>
      <c r="B9" s="137"/>
      <c r="C9" s="137"/>
      <c r="D9" s="137"/>
      <c r="E9" s="137"/>
      <c r="F9" s="137"/>
      <c r="G9" s="137"/>
      <c r="H9" s="137"/>
      <c r="I9" s="137"/>
      <c r="J9" s="137"/>
      <c r="K9" s="137"/>
      <c r="L9" s="137"/>
    </row>
    <row r="10" spans="1:12" x14ac:dyDescent="0.3">
      <c r="A10" s="138" t="s">
        <v>82</v>
      </c>
      <c r="B10" s="139"/>
      <c r="C10" s="139"/>
      <c r="D10" s="140"/>
      <c r="E10" s="141" t="s">
        <v>18</v>
      </c>
      <c r="F10" s="111" t="s">
        <v>40</v>
      </c>
      <c r="G10" s="111"/>
      <c r="H10" s="111"/>
      <c r="I10" s="111"/>
      <c r="J10" s="111"/>
      <c r="K10" s="111"/>
      <c r="L10" s="111"/>
    </row>
    <row r="11" spans="1:12" x14ac:dyDescent="0.3">
      <c r="A11" s="142" t="s">
        <v>5</v>
      </c>
      <c r="B11" s="143"/>
      <c r="C11" s="24" t="s">
        <v>6</v>
      </c>
      <c r="D11" s="24" t="s">
        <v>7</v>
      </c>
      <c r="E11" s="111"/>
      <c r="F11" s="111"/>
      <c r="G11" s="111"/>
      <c r="H11" s="111"/>
      <c r="I11" s="111"/>
      <c r="J11" s="111"/>
      <c r="K11" s="111"/>
      <c r="L11" s="111"/>
    </row>
    <row r="12" spans="1:12" ht="40.5" customHeight="1" x14ac:dyDescent="0.3">
      <c r="A12" s="113" t="s">
        <v>8</v>
      </c>
      <c r="B12" s="114"/>
      <c r="C12" s="21" t="s">
        <v>74</v>
      </c>
      <c r="D12" s="4">
        <v>1246</v>
      </c>
      <c r="E12" s="19" t="str">
        <f>B6</f>
        <v>Convenção Coletiva de Trabalho (CCT) - Nº Registro no MTE: AM000546/2021 - Nº Processo: 13621.120880/2021-15 - Nº Solicitação: MR069260/2020</v>
      </c>
      <c r="F12" s="124"/>
      <c r="G12" s="124"/>
      <c r="H12" s="124"/>
      <c r="I12" s="124"/>
      <c r="J12" s="124"/>
      <c r="K12" s="124"/>
      <c r="L12" s="124"/>
    </row>
    <row r="13" spans="1:12" ht="15" customHeight="1" x14ac:dyDescent="0.3">
      <c r="A13" s="99" t="s">
        <v>79</v>
      </c>
      <c r="B13" s="100"/>
      <c r="C13" s="53"/>
      <c r="D13" s="39">
        <f>C13*D12/100</f>
        <v>0</v>
      </c>
      <c r="E13" s="48" t="s">
        <v>74</v>
      </c>
      <c r="F13" s="124"/>
      <c r="G13" s="124"/>
      <c r="H13" s="124"/>
      <c r="I13" s="124"/>
      <c r="J13" s="124"/>
      <c r="K13" s="124"/>
      <c r="L13" s="124"/>
    </row>
    <row r="14" spans="1:12" x14ac:dyDescent="0.3">
      <c r="A14" s="120" t="s">
        <v>29</v>
      </c>
      <c r="B14" s="120"/>
      <c r="C14" s="120"/>
      <c r="D14" s="28">
        <f>ROUND(SUM(D12:D13),2)</f>
        <v>1246</v>
      </c>
      <c r="E14" s="2"/>
      <c r="F14" s="2"/>
      <c r="G14" s="2"/>
      <c r="H14" s="2"/>
      <c r="I14" s="2"/>
      <c r="J14" s="2"/>
      <c r="K14" s="2"/>
      <c r="L14" s="2"/>
    </row>
    <row r="15" spans="1:12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3">
      <c r="A16" s="111" t="s">
        <v>83</v>
      </c>
      <c r="B16" s="111"/>
      <c r="C16" s="111"/>
      <c r="D16" s="111"/>
      <c r="E16" s="144" t="s">
        <v>18</v>
      </c>
      <c r="F16" s="2"/>
      <c r="G16" s="2"/>
      <c r="H16" s="2"/>
      <c r="I16" s="2"/>
      <c r="J16" s="2"/>
      <c r="K16" s="2"/>
      <c r="L16" s="2"/>
    </row>
    <row r="17" spans="1:12" x14ac:dyDescent="0.3">
      <c r="A17" s="111" t="s">
        <v>19</v>
      </c>
      <c r="B17" s="111"/>
      <c r="C17" s="24" t="s">
        <v>6</v>
      </c>
      <c r="D17" s="24" t="s">
        <v>7</v>
      </c>
      <c r="E17" s="138"/>
      <c r="F17" s="2"/>
      <c r="G17" s="2"/>
      <c r="H17" s="2"/>
      <c r="I17" s="2"/>
      <c r="J17" s="2"/>
      <c r="K17" s="2"/>
      <c r="L17" s="2"/>
    </row>
    <row r="18" spans="1:12" x14ac:dyDescent="0.3">
      <c r="A18" s="113" t="s">
        <v>20</v>
      </c>
      <c r="B18" s="114"/>
      <c r="C18" s="11">
        <v>0.2</v>
      </c>
      <c r="D18" s="5">
        <f t="shared" ref="D18:D25" si="0">ROUND($D$14*C18,2)</f>
        <v>249.2</v>
      </c>
      <c r="E18" s="19" t="s">
        <v>10</v>
      </c>
      <c r="F18" s="2"/>
      <c r="G18" s="2"/>
      <c r="H18" s="2"/>
      <c r="I18" s="2"/>
      <c r="J18" s="2"/>
      <c r="K18" s="2"/>
      <c r="L18" s="2"/>
    </row>
    <row r="19" spans="1:12" x14ac:dyDescent="0.3">
      <c r="A19" s="116" t="s">
        <v>21</v>
      </c>
      <c r="B19" s="117"/>
      <c r="C19" s="52">
        <v>0.08</v>
      </c>
      <c r="D19" s="39">
        <f t="shared" si="0"/>
        <v>99.68</v>
      </c>
      <c r="E19" s="48" t="s">
        <v>11</v>
      </c>
      <c r="F19" s="2"/>
      <c r="G19" s="2"/>
      <c r="H19" s="2"/>
      <c r="I19" s="2"/>
      <c r="J19" s="2"/>
      <c r="K19" s="2"/>
      <c r="L19" s="2"/>
    </row>
    <row r="20" spans="1:12" x14ac:dyDescent="0.3">
      <c r="A20" s="113" t="s">
        <v>22</v>
      </c>
      <c r="B20" s="114"/>
      <c r="C20" s="11">
        <v>1.4999999999999999E-2</v>
      </c>
      <c r="D20" s="5">
        <f t="shared" si="0"/>
        <v>18.690000000000001</v>
      </c>
      <c r="E20" s="19" t="s">
        <v>12</v>
      </c>
      <c r="F20" s="2"/>
      <c r="G20" s="2"/>
      <c r="H20" s="2"/>
      <c r="I20" s="2"/>
      <c r="J20" s="2"/>
      <c r="K20" s="2"/>
      <c r="L20" s="2"/>
    </row>
    <row r="21" spans="1:12" ht="25.5" customHeight="1" x14ac:dyDescent="0.3">
      <c r="A21" s="116" t="s">
        <v>23</v>
      </c>
      <c r="B21" s="117"/>
      <c r="C21" s="52">
        <v>0.01</v>
      </c>
      <c r="D21" s="39">
        <f t="shared" si="0"/>
        <v>12.46</v>
      </c>
      <c r="E21" s="48" t="s">
        <v>13</v>
      </c>
      <c r="F21" s="2"/>
      <c r="G21" s="2"/>
      <c r="H21" s="2"/>
      <c r="I21" s="2"/>
      <c r="J21" s="2"/>
      <c r="K21" s="2"/>
      <c r="L21" s="2"/>
    </row>
    <row r="22" spans="1:12" ht="28.5" customHeight="1" x14ac:dyDescent="0.3">
      <c r="A22" s="113" t="s">
        <v>24</v>
      </c>
      <c r="B22" s="114"/>
      <c r="C22" s="11">
        <v>2E-3</v>
      </c>
      <c r="D22" s="5">
        <f t="shared" si="0"/>
        <v>2.4900000000000002</v>
      </c>
      <c r="E22" s="19" t="s">
        <v>14</v>
      </c>
      <c r="F22" s="2"/>
      <c r="G22" s="2"/>
      <c r="H22" s="2"/>
      <c r="I22" s="2"/>
      <c r="J22" s="2"/>
      <c r="K22" s="2"/>
      <c r="L22" s="2"/>
    </row>
    <row r="23" spans="1:12" x14ac:dyDescent="0.3">
      <c r="A23" s="116" t="s">
        <v>25</v>
      </c>
      <c r="B23" s="117"/>
      <c r="C23" s="52">
        <v>6.0000000000000001E-3</v>
      </c>
      <c r="D23" s="39">
        <f t="shared" si="0"/>
        <v>7.48</v>
      </c>
      <c r="E23" s="48" t="s">
        <v>15</v>
      </c>
      <c r="F23" s="2"/>
      <c r="G23" s="2"/>
      <c r="H23" s="2"/>
      <c r="I23" s="2"/>
      <c r="J23" s="2"/>
      <c r="K23" s="2"/>
      <c r="L23" s="2"/>
    </row>
    <row r="24" spans="1:12" x14ac:dyDescent="0.3">
      <c r="A24" s="97" t="s">
        <v>26</v>
      </c>
      <c r="B24" s="98"/>
      <c r="C24" s="11">
        <v>2.5000000000000001E-2</v>
      </c>
      <c r="D24" s="5">
        <f t="shared" si="0"/>
        <v>31.15</v>
      </c>
      <c r="E24" s="19" t="s">
        <v>16</v>
      </c>
      <c r="F24" s="2"/>
      <c r="G24" s="2"/>
      <c r="H24" s="2"/>
      <c r="I24" s="2"/>
      <c r="J24" s="2"/>
      <c r="K24" s="2"/>
      <c r="L24" s="2"/>
    </row>
    <row r="25" spans="1:12" ht="39.75" customHeight="1" x14ac:dyDescent="0.3">
      <c r="A25" s="99" t="s">
        <v>27</v>
      </c>
      <c r="B25" s="100"/>
      <c r="C25" s="85">
        <v>0.06</v>
      </c>
      <c r="D25" s="39">
        <f t="shared" si="0"/>
        <v>74.760000000000005</v>
      </c>
      <c r="E25" s="83" t="s">
        <v>106</v>
      </c>
      <c r="F25" s="2"/>
      <c r="G25" s="2"/>
      <c r="H25" s="2"/>
      <c r="I25" s="2"/>
      <c r="J25" s="2"/>
      <c r="K25" s="2"/>
      <c r="L25" s="2"/>
    </row>
    <row r="26" spans="1:12" x14ac:dyDescent="0.3">
      <c r="A26" s="108" t="s">
        <v>28</v>
      </c>
      <c r="B26" s="109"/>
      <c r="C26" s="29">
        <f>ROUND(SUM(C18:C25),5)</f>
        <v>0.39800000000000002</v>
      </c>
      <c r="D26" s="28">
        <f>ROUND(SUM(D18:D25),2)</f>
        <v>495.91</v>
      </c>
      <c r="E26" s="2"/>
      <c r="F26" s="2"/>
      <c r="G26" s="2"/>
      <c r="H26" s="2"/>
      <c r="I26" s="2"/>
      <c r="J26" s="2"/>
      <c r="K26" s="2"/>
      <c r="L26" s="2"/>
    </row>
    <row r="27" spans="1:12" x14ac:dyDescent="0.3">
      <c r="A27" s="18"/>
      <c r="B27" s="18"/>
      <c r="C27" s="6"/>
      <c r="D27" s="7"/>
      <c r="E27" s="2"/>
      <c r="F27" s="2"/>
      <c r="G27" s="2"/>
      <c r="H27" s="2"/>
      <c r="I27" s="2"/>
      <c r="J27" s="2"/>
      <c r="K27" s="2"/>
      <c r="L27" s="2"/>
    </row>
    <row r="28" spans="1:12" x14ac:dyDescent="0.3">
      <c r="A28" s="111" t="s">
        <v>30</v>
      </c>
      <c r="B28" s="111"/>
      <c r="C28" s="24" t="s">
        <v>6</v>
      </c>
      <c r="D28" s="24" t="s">
        <v>7</v>
      </c>
      <c r="E28" s="24" t="s">
        <v>18</v>
      </c>
      <c r="F28" s="111" t="s">
        <v>40</v>
      </c>
      <c r="G28" s="111"/>
      <c r="H28" s="111"/>
      <c r="I28" s="111"/>
      <c r="J28" s="111"/>
      <c r="K28" s="111"/>
      <c r="L28" s="111"/>
    </row>
    <row r="29" spans="1:12" ht="25.05" customHeight="1" x14ac:dyDescent="0.3">
      <c r="A29" s="97" t="s">
        <v>31</v>
      </c>
      <c r="B29" s="98"/>
      <c r="C29" s="9">
        <f>ROUND(1/12,5)</f>
        <v>8.3330000000000001E-2</v>
      </c>
      <c r="D29" s="5">
        <f t="shared" ref="D29:D37" si="1">ROUND($D$14*C29,2)</f>
        <v>103.83</v>
      </c>
      <c r="E29" s="19" t="s">
        <v>17</v>
      </c>
      <c r="F29" s="103" t="s">
        <v>194</v>
      </c>
      <c r="G29" s="103"/>
      <c r="H29" s="103"/>
      <c r="I29" s="103"/>
      <c r="J29" s="103"/>
      <c r="K29" s="103"/>
      <c r="L29" s="103"/>
    </row>
    <row r="30" spans="1:12" ht="25.05" customHeight="1" x14ac:dyDescent="0.3">
      <c r="A30" s="116" t="s">
        <v>193</v>
      </c>
      <c r="B30" s="117"/>
      <c r="C30" s="50">
        <f>ROUND((1/3)/12,5)</f>
        <v>2.7779999999999999E-2</v>
      </c>
      <c r="D30" s="39">
        <f t="shared" si="1"/>
        <v>34.61</v>
      </c>
      <c r="E30" s="51" t="s">
        <v>192</v>
      </c>
      <c r="F30" s="103"/>
      <c r="G30" s="103"/>
      <c r="H30" s="103"/>
      <c r="I30" s="103"/>
      <c r="J30" s="103"/>
      <c r="K30" s="103"/>
      <c r="L30" s="103"/>
    </row>
    <row r="31" spans="1:12" ht="25.05" customHeight="1" x14ac:dyDescent="0.3">
      <c r="A31" s="113" t="s">
        <v>32</v>
      </c>
      <c r="B31" s="114"/>
      <c r="C31" s="10">
        <f>ROUND((((100% / 30) * 7) / 12),5)</f>
        <v>1.9439999999999999E-2</v>
      </c>
      <c r="D31" s="5">
        <f t="shared" si="1"/>
        <v>24.22</v>
      </c>
      <c r="E31" s="37" t="s">
        <v>39</v>
      </c>
      <c r="F31" s="103"/>
      <c r="G31" s="103"/>
      <c r="H31" s="103"/>
      <c r="I31" s="103"/>
      <c r="J31" s="103"/>
      <c r="K31" s="103"/>
      <c r="L31" s="103"/>
    </row>
    <row r="32" spans="1:12" ht="25.05" customHeight="1" x14ac:dyDescent="0.3">
      <c r="A32" s="116" t="s">
        <v>33</v>
      </c>
      <c r="B32" s="117"/>
      <c r="C32" s="50">
        <f>ROUND((5/30)/12,5)</f>
        <v>1.389E-2</v>
      </c>
      <c r="D32" s="39">
        <f t="shared" si="1"/>
        <v>17.309999999999999</v>
      </c>
      <c r="E32" s="51" t="s">
        <v>191</v>
      </c>
      <c r="F32" s="103"/>
      <c r="G32" s="103"/>
      <c r="H32" s="103"/>
      <c r="I32" s="103"/>
      <c r="J32" s="103"/>
      <c r="K32" s="103"/>
      <c r="L32" s="103"/>
    </row>
    <row r="33" spans="1:12" ht="25.05" customHeight="1" x14ac:dyDescent="0.3">
      <c r="A33" s="113" t="s">
        <v>34</v>
      </c>
      <c r="B33" s="114"/>
      <c r="C33" s="10">
        <f>ROUND(((15/30/12)*0.08),5)</f>
        <v>3.3300000000000001E-3</v>
      </c>
      <c r="D33" s="5">
        <f t="shared" si="1"/>
        <v>4.1500000000000004</v>
      </c>
      <c r="E33" s="37" t="s">
        <v>190</v>
      </c>
      <c r="F33" s="103"/>
      <c r="G33" s="103"/>
      <c r="H33" s="103"/>
      <c r="I33" s="103"/>
      <c r="J33" s="103"/>
      <c r="K33" s="103"/>
      <c r="L33" s="103"/>
    </row>
    <row r="34" spans="1:12" ht="25.05" customHeight="1" x14ac:dyDescent="0.3">
      <c r="A34" s="116" t="s">
        <v>35</v>
      </c>
      <c r="B34" s="117"/>
      <c r="C34" s="50">
        <f>ROUND((1/30)/12,5)</f>
        <v>2.7799999999999999E-3</v>
      </c>
      <c r="D34" s="39">
        <f t="shared" si="1"/>
        <v>3.46</v>
      </c>
      <c r="E34" s="51" t="s">
        <v>189</v>
      </c>
      <c r="F34" s="103"/>
      <c r="G34" s="103"/>
      <c r="H34" s="103"/>
      <c r="I34" s="103"/>
      <c r="J34" s="103"/>
      <c r="K34" s="103"/>
      <c r="L34" s="103"/>
    </row>
    <row r="35" spans="1:12" ht="25.05" customHeight="1" x14ac:dyDescent="0.3">
      <c r="A35" s="113" t="s">
        <v>36</v>
      </c>
      <c r="B35" s="114"/>
      <c r="C35" s="10">
        <f>ROUND(0.1111*0.02*0.333,5)</f>
        <v>7.3999999999999999E-4</v>
      </c>
      <c r="D35" s="5">
        <f t="shared" si="1"/>
        <v>0.92</v>
      </c>
      <c r="E35" s="84" t="s">
        <v>188</v>
      </c>
      <c r="F35" s="103"/>
      <c r="G35" s="103"/>
      <c r="H35" s="103"/>
      <c r="I35" s="103"/>
      <c r="J35" s="103"/>
      <c r="K35" s="103"/>
      <c r="L35" s="103"/>
    </row>
    <row r="36" spans="1:12" ht="25.05" customHeight="1" x14ac:dyDescent="0.3">
      <c r="A36" s="116" t="s">
        <v>37</v>
      </c>
      <c r="B36" s="117"/>
      <c r="C36" s="50">
        <f>ROUND(((5/30)/12)*0.015,5)</f>
        <v>2.1000000000000001E-4</v>
      </c>
      <c r="D36" s="39">
        <f t="shared" si="1"/>
        <v>0.26</v>
      </c>
      <c r="E36" s="51" t="s">
        <v>187</v>
      </c>
      <c r="F36" s="103"/>
      <c r="G36" s="103"/>
      <c r="H36" s="103"/>
      <c r="I36" s="103"/>
      <c r="J36" s="103"/>
      <c r="K36" s="103"/>
      <c r="L36" s="103"/>
    </row>
    <row r="37" spans="1:12" ht="25.05" customHeight="1" x14ac:dyDescent="0.3">
      <c r="A37" s="113" t="s">
        <v>186</v>
      </c>
      <c r="B37" s="114"/>
      <c r="C37" s="10">
        <f>ROUND(1/12,5)</f>
        <v>8.3330000000000001E-2</v>
      </c>
      <c r="D37" s="5">
        <f t="shared" si="1"/>
        <v>103.83</v>
      </c>
      <c r="E37" s="19" t="s">
        <v>185</v>
      </c>
      <c r="F37" s="103"/>
      <c r="G37" s="103"/>
      <c r="H37" s="103"/>
      <c r="I37" s="103"/>
      <c r="J37" s="103"/>
      <c r="K37" s="103"/>
      <c r="L37" s="103"/>
    </row>
    <row r="38" spans="1:12" x14ac:dyDescent="0.3">
      <c r="A38" s="108" t="s">
        <v>38</v>
      </c>
      <c r="B38" s="109"/>
      <c r="C38" s="29">
        <f>ROUND(SUM(C29:C37),5)</f>
        <v>0.23483000000000001</v>
      </c>
      <c r="D38" s="28">
        <f>ROUND(SUM(D29:D37),2)</f>
        <v>292.58999999999997</v>
      </c>
      <c r="E38" s="2"/>
      <c r="F38" s="2"/>
      <c r="G38" s="2"/>
      <c r="H38" s="2"/>
      <c r="I38" s="2"/>
      <c r="J38" s="2"/>
      <c r="K38" s="2"/>
      <c r="L38" s="2"/>
    </row>
    <row r="39" spans="1:12" x14ac:dyDescent="0.3">
      <c r="A39" s="18"/>
      <c r="B39" s="18"/>
      <c r="C39" s="8"/>
      <c r="D39" s="7"/>
      <c r="E39" s="2"/>
      <c r="F39" s="2"/>
      <c r="G39" s="2"/>
      <c r="H39" s="2"/>
      <c r="I39" s="2"/>
      <c r="J39" s="2"/>
      <c r="K39" s="2"/>
      <c r="L39" s="2"/>
    </row>
    <row r="40" spans="1:12" x14ac:dyDescent="0.3">
      <c r="A40" s="106" t="s">
        <v>41</v>
      </c>
      <c r="B40" s="107"/>
      <c r="C40" s="24" t="s">
        <v>6</v>
      </c>
      <c r="D40" s="24" t="s">
        <v>7</v>
      </c>
      <c r="E40" s="24" t="s">
        <v>18</v>
      </c>
      <c r="F40" s="111" t="s">
        <v>40</v>
      </c>
      <c r="G40" s="111"/>
      <c r="H40" s="111"/>
      <c r="I40" s="111"/>
      <c r="J40" s="111"/>
      <c r="K40" s="111"/>
      <c r="L40" s="111"/>
    </row>
    <row r="41" spans="1:12" ht="25.05" customHeight="1" x14ac:dyDescent="0.3">
      <c r="A41" s="128" t="s">
        <v>42</v>
      </c>
      <c r="B41" s="129"/>
      <c r="C41" s="12">
        <f>ROUND(1/12*5%,5)</f>
        <v>4.1700000000000001E-3</v>
      </c>
      <c r="D41" s="54">
        <f>ROUND($D$14*C41,2)</f>
        <v>5.2</v>
      </c>
      <c r="E41" s="19" t="s">
        <v>46</v>
      </c>
      <c r="F41" s="103" t="s">
        <v>184</v>
      </c>
      <c r="G41" s="103"/>
      <c r="H41" s="103"/>
      <c r="I41" s="103"/>
      <c r="J41" s="103"/>
      <c r="K41" s="103"/>
      <c r="L41" s="103"/>
    </row>
    <row r="42" spans="1:12" ht="25.05" customHeight="1" x14ac:dyDescent="0.3">
      <c r="A42" s="116" t="s">
        <v>43</v>
      </c>
      <c r="B42" s="117"/>
      <c r="C42" s="49">
        <f>ROUND(0.02*(1/12),5)</f>
        <v>1.67E-3</v>
      </c>
      <c r="D42" s="39">
        <f>ROUND($D$14*C42,2)</f>
        <v>2.08</v>
      </c>
      <c r="E42" s="48" t="s">
        <v>183</v>
      </c>
      <c r="F42" s="103"/>
      <c r="G42" s="103"/>
      <c r="H42" s="103"/>
      <c r="I42" s="103"/>
      <c r="J42" s="103"/>
      <c r="K42" s="103"/>
      <c r="L42" s="103"/>
    </row>
    <row r="43" spans="1:12" ht="25.05" customHeight="1" x14ac:dyDescent="0.3">
      <c r="A43" s="128" t="s">
        <v>44</v>
      </c>
      <c r="B43" s="129"/>
      <c r="C43" s="15">
        <f>ROUND(40%*8%,5)</f>
        <v>3.2000000000000001E-2</v>
      </c>
      <c r="D43" s="54">
        <f>ROUND($D$14*C43,2)</f>
        <v>39.869999999999997</v>
      </c>
      <c r="E43" s="19" t="s">
        <v>47</v>
      </c>
      <c r="F43" s="103"/>
      <c r="G43" s="103"/>
      <c r="H43" s="103"/>
      <c r="I43" s="103"/>
      <c r="J43" s="103"/>
      <c r="K43" s="103"/>
      <c r="L43" s="103"/>
    </row>
    <row r="44" spans="1:12" x14ac:dyDescent="0.3">
      <c r="A44" s="108" t="s">
        <v>45</v>
      </c>
      <c r="B44" s="109"/>
      <c r="C44" s="29">
        <f>ROUND(SUM(C41:C43),5)</f>
        <v>3.7839999999999999E-2</v>
      </c>
      <c r="D44" s="28">
        <f>ROUND(SUM(D41:D43),2)</f>
        <v>47.15</v>
      </c>
      <c r="E44" s="2"/>
      <c r="F44" s="2"/>
      <c r="G44" s="2"/>
      <c r="H44" s="2"/>
      <c r="I44" s="2"/>
      <c r="J44" s="2"/>
      <c r="K44" s="2"/>
      <c r="L44" s="2"/>
    </row>
    <row r="45" spans="1:12" x14ac:dyDescent="0.3">
      <c r="A45" s="18"/>
      <c r="B45" s="18"/>
      <c r="C45" s="8"/>
      <c r="D45" s="7"/>
      <c r="E45" s="2"/>
      <c r="F45" s="2"/>
      <c r="G45" s="2"/>
      <c r="H45" s="2"/>
      <c r="I45" s="2"/>
      <c r="J45" s="2"/>
      <c r="K45" s="2"/>
      <c r="L45" s="2"/>
    </row>
    <row r="46" spans="1:12" x14ac:dyDescent="0.3">
      <c r="A46" s="106" t="s">
        <v>48</v>
      </c>
      <c r="B46" s="107"/>
      <c r="C46" s="24" t="s">
        <v>6</v>
      </c>
      <c r="D46" s="24" t="s">
        <v>7</v>
      </c>
      <c r="E46" s="24" t="s">
        <v>18</v>
      </c>
      <c r="F46" s="2"/>
      <c r="G46" s="2"/>
      <c r="H46" s="2"/>
      <c r="I46" s="2"/>
      <c r="J46" s="2"/>
      <c r="K46" s="2"/>
      <c r="L46" s="2"/>
    </row>
    <row r="47" spans="1:12" ht="29.1" customHeight="1" x14ac:dyDescent="0.3">
      <c r="A47" s="113" t="s">
        <v>49</v>
      </c>
      <c r="B47" s="114"/>
      <c r="C47" s="14">
        <f>ROUND(C26*C38,5)</f>
        <v>9.3460000000000001E-2</v>
      </c>
      <c r="D47" s="5">
        <f>ROUND($D$14*C47,2)</f>
        <v>116.45</v>
      </c>
      <c r="E47" s="83" t="s">
        <v>200</v>
      </c>
      <c r="F47" s="2"/>
      <c r="G47" s="2"/>
      <c r="H47" s="2"/>
      <c r="I47" s="2"/>
      <c r="J47" s="2"/>
      <c r="K47" s="2"/>
      <c r="L47" s="2"/>
    </row>
    <row r="48" spans="1:12" x14ac:dyDescent="0.3">
      <c r="A48" s="108" t="s">
        <v>50</v>
      </c>
      <c r="B48" s="109"/>
      <c r="C48" s="29">
        <f>ROUND(SUM(C47),5)</f>
        <v>9.3460000000000001E-2</v>
      </c>
      <c r="D48" s="28">
        <f>ROUND(SUM(D47),2)</f>
        <v>116.45</v>
      </c>
      <c r="E48" s="2"/>
      <c r="F48" s="2"/>
      <c r="G48" s="2"/>
      <c r="H48" s="2"/>
      <c r="I48" s="2"/>
      <c r="J48" s="2"/>
      <c r="K48" s="2"/>
      <c r="L48" s="2"/>
    </row>
    <row r="49" spans="1:12" x14ac:dyDescent="0.3">
      <c r="A49" s="18"/>
      <c r="B49" s="18"/>
      <c r="C49" s="8"/>
      <c r="D49" s="7"/>
      <c r="E49" s="2"/>
      <c r="F49" s="2"/>
      <c r="G49" s="2"/>
      <c r="H49" s="2"/>
      <c r="I49" s="2"/>
      <c r="J49" s="2"/>
      <c r="K49" s="2"/>
      <c r="L49" s="2"/>
    </row>
    <row r="50" spans="1:12" x14ac:dyDescent="0.3">
      <c r="A50" s="106" t="s">
        <v>51</v>
      </c>
      <c r="B50" s="107"/>
      <c r="C50" s="24" t="s">
        <v>6</v>
      </c>
      <c r="D50" s="24" t="s">
        <v>7</v>
      </c>
      <c r="E50" s="24" t="s">
        <v>18</v>
      </c>
      <c r="F50" s="111" t="s">
        <v>40</v>
      </c>
      <c r="G50" s="111"/>
      <c r="H50" s="111"/>
      <c r="I50" s="111"/>
      <c r="J50" s="111"/>
      <c r="K50" s="111"/>
      <c r="L50" s="111"/>
    </row>
    <row r="51" spans="1:12" ht="65.55" customHeight="1" x14ac:dyDescent="0.3">
      <c r="A51" s="113" t="s">
        <v>52</v>
      </c>
      <c r="B51" s="114"/>
      <c r="C51" s="15">
        <f>ROUND(8%*C41,5)</f>
        <v>3.3E-4</v>
      </c>
      <c r="D51" s="5">
        <f>ROUND($D$14*C51,2)</f>
        <v>0.41</v>
      </c>
      <c r="E51" s="19" t="s">
        <v>54</v>
      </c>
      <c r="F51" s="103"/>
      <c r="G51" s="103"/>
      <c r="H51" s="103"/>
      <c r="I51" s="103"/>
      <c r="J51" s="103"/>
      <c r="K51" s="103"/>
      <c r="L51" s="103"/>
    </row>
    <row r="52" spans="1:12" x14ac:dyDescent="0.3">
      <c r="A52" s="108" t="s">
        <v>53</v>
      </c>
      <c r="B52" s="109"/>
      <c r="C52" s="29">
        <f>ROUND(SUM(C51:C51),5)</f>
        <v>3.3E-4</v>
      </c>
      <c r="D52" s="28">
        <f>ROUND(SUM(D51:D51),2)</f>
        <v>0.41</v>
      </c>
      <c r="E52" s="2"/>
      <c r="F52" s="2"/>
      <c r="G52" s="2"/>
      <c r="H52" s="2"/>
      <c r="I52" s="2"/>
      <c r="J52" s="2"/>
      <c r="K52" s="2"/>
      <c r="L52" s="2"/>
    </row>
    <row r="53" spans="1:12" x14ac:dyDescent="0.3">
      <c r="A53" s="18"/>
      <c r="B53" s="18"/>
      <c r="C53" s="8"/>
      <c r="D53" s="7"/>
      <c r="E53" s="2"/>
      <c r="F53" s="2"/>
      <c r="G53" s="2"/>
      <c r="H53" s="2"/>
      <c r="I53" s="2"/>
      <c r="J53" s="2"/>
      <c r="K53" s="2"/>
      <c r="L53" s="2"/>
    </row>
    <row r="54" spans="1:12" x14ac:dyDescent="0.3">
      <c r="A54" s="106" t="s">
        <v>55</v>
      </c>
      <c r="B54" s="107"/>
      <c r="C54" s="24" t="s">
        <v>6</v>
      </c>
      <c r="D54" s="24" t="s">
        <v>7</v>
      </c>
      <c r="E54" s="24" t="s">
        <v>18</v>
      </c>
      <c r="F54" s="2"/>
      <c r="G54" s="2"/>
      <c r="H54" s="2"/>
      <c r="I54" s="2"/>
      <c r="J54" s="2"/>
      <c r="K54" s="2"/>
      <c r="L54" s="2"/>
    </row>
    <row r="55" spans="1:12" ht="106.5" customHeight="1" x14ac:dyDescent="0.3">
      <c r="A55" s="113" t="s">
        <v>56</v>
      </c>
      <c r="B55" s="114"/>
      <c r="C55" s="14">
        <f>ROUND(C26*(13/12)*(4/12)*2/100,5)</f>
        <v>2.8700000000000002E-3</v>
      </c>
      <c r="D55" s="5">
        <f>ROUND($D$14*C55,2)</f>
        <v>3.58</v>
      </c>
      <c r="E55" s="82" t="s">
        <v>201</v>
      </c>
      <c r="F55" s="2"/>
      <c r="G55" s="2"/>
      <c r="H55" s="2"/>
      <c r="I55" s="2"/>
      <c r="J55" s="2"/>
      <c r="K55" s="2"/>
      <c r="L55" s="2"/>
    </row>
    <row r="56" spans="1:12" x14ac:dyDescent="0.3">
      <c r="A56" s="108" t="s">
        <v>57</v>
      </c>
      <c r="B56" s="109"/>
      <c r="C56" s="29">
        <f>ROUND(SUM(C55),5)</f>
        <v>2.8700000000000002E-3</v>
      </c>
      <c r="D56" s="28">
        <f>ROUND(SUM(D55),2)</f>
        <v>3.58</v>
      </c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108" t="s">
        <v>58</v>
      </c>
      <c r="B57" s="109"/>
      <c r="C57" s="29">
        <f>ROUND(C26+C38+C44+C48+C52+C56,5)</f>
        <v>0.76732999999999996</v>
      </c>
      <c r="D57" s="28">
        <f>ROUND(D26+D38+D44+D48+D52+D56,2)</f>
        <v>956.09</v>
      </c>
      <c r="E57" s="2"/>
      <c r="F57" s="2"/>
      <c r="G57" s="2"/>
      <c r="H57" s="2"/>
      <c r="I57" s="2"/>
      <c r="J57" s="2"/>
      <c r="K57" s="2"/>
      <c r="L57" s="2"/>
    </row>
    <row r="58" spans="1:12" ht="15" customHeight="1" x14ac:dyDescent="0.3">
      <c r="A58" s="18"/>
      <c r="B58" s="18"/>
      <c r="C58" s="8"/>
      <c r="D58" s="7"/>
      <c r="E58" s="2"/>
      <c r="F58" s="2"/>
      <c r="G58" s="2"/>
      <c r="H58" s="2"/>
      <c r="I58" s="2"/>
      <c r="J58" s="2"/>
      <c r="K58" s="2"/>
      <c r="L58" s="2"/>
    </row>
    <row r="59" spans="1:12" ht="15" customHeight="1" x14ac:dyDescent="0.3">
      <c r="A59" s="108" t="s">
        <v>59</v>
      </c>
      <c r="B59" s="110"/>
      <c r="C59" s="109"/>
      <c r="D59" s="28">
        <f>D14+D57</f>
        <v>2202.09</v>
      </c>
      <c r="E59" s="2"/>
      <c r="F59" s="2"/>
      <c r="G59" s="2"/>
      <c r="H59" s="2"/>
      <c r="I59" s="2"/>
      <c r="J59" s="2"/>
      <c r="K59" s="2"/>
      <c r="L59" s="2"/>
    </row>
    <row r="60" spans="1:12" ht="1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5" customHeight="1" x14ac:dyDescent="0.3">
      <c r="A61" s="111" t="s">
        <v>84</v>
      </c>
      <c r="B61" s="111"/>
      <c r="C61" s="111"/>
      <c r="D61" s="111"/>
      <c r="E61" s="111" t="s">
        <v>18</v>
      </c>
      <c r="F61" s="111" t="s">
        <v>40</v>
      </c>
      <c r="G61" s="111"/>
      <c r="H61" s="111"/>
      <c r="I61" s="111"/>
      <c r="J61" s="111"/>
      <c r="K61" s="111"/>
      <c r="L61" s="111"/>
    </row>
    <row r="62" spans="1:12" x14ac:dyDescent="0.3">
      <c r="A62" s="111" t="s">
        <v>60</v>
      </c>
      <c r="B62" s="111"/>
      <c r="C62" s="24" t="s">
        <v>182</v>
      </c>
      <c r="D62" s="25" t="s">
        <v>7</v>
      </c>
      <c r="E62" s="111"/>
      <c r="F62" s="111"/>
      <c r="G62" s="111"/>
      <c r="H62" s="111"/>
      <c r="I62" s="111"/>
      <c r="J62" s="111"/>
      <c r="K62" s="111"/>
      <c r="L62" s="111"/>
    </row>
    <row r="63" spans="1:12" ht="96" customHeight="1" x14ac:dyDescent="0.3">
      <c r="A63" s="123" t="s">
        <v>93</v>
      </c>
      <c r="B63" s="123"/>
      <c r="C63" s="32">
        <v>15</v>
      </c>
      <c r="D63" s="32">
        <f>ROUND(C63*22,2)</f>
        <v>330</v>
      </c>
      <c r="E63" s="35" t="s">
        <v>181</v>
      </c>
      <c r="F63" s="124"/>
      <c r="G63" s="124"/>
      <c r="H63" s="124"/>
      <c r="I63" s="124"/>
      <c r="J63" s="124"/>
      <c r="K63" s="124"/>
      <c r="L63" s="124"/>
    </row>
    <row r="64" spans="1:12" ht="53.55" customHeight="1" x14ac:dyDescent="0.3">
      <c r="A64" s="125" t="s">
        <v>94</v>
      </c>
      <c r="B64" s="125"/>
      <c r="C64" s="81">
        <v>0.1</v>
      </c>
      <c r="D64" s="46">
        <f>ROUND(D63*C64,2)*-1</f>
        <v>-33</v>
      </c>
      <c r="E64" s="47" t="s">
        <v>95</v>
      </c>
      <c r="F64" s="124"/>
      <c r="G64" s="124"/>
      <c r="H64" s="124"/>
      <c r="I64" s="124"/>
      <c r="J64" s="124"/>
      <c r="K64" s="124"/>
      <c r="L64" s="124"/>
    </row>
    <row r="65" spans="1:12" ht="29.55" customHeight="1" x14ac:dyDescent="0.3">
      <c r="A65" s="123" t="s">
        <v>90</v>
      </c>
      <c r="B65" s="123"/>
      <c r="C65" s="32">
        <v>100</v>
      </c>
      <c r="D65" s="32">
        <f>C65</f>
        <v>100</v>
      </c>
      <c r="E65" s="36" t="s">
        <v>96</v>
      </c>
      <c r="F65" s="124"/>
      <c r="G65" s="124"/>
      <c r="H65" s="124"/>
      <c r="I65" s="124"/>
      <c r="J65" s="124"/>
      <c r="K65" s="124"/>
      <c r="L65" s="124"/>
    </row>
    <row r="66" spans="1:12" ht="102.6" customHeight="1" x14ac:dyDescent="0.3">
      <c r="A66" s="126" t="s">
        <v>97</v>
      </c>
      <c r="B66" s="126"/>
      <c r="C66" s="78">
        <v>3.8</v>
      </c>
      <c r="D66" s="44">
        <f>ROUND(C66*2*22,2)</f>
        <v>167.2</v>
      </c>
      <c r="E66" s="43" t="s">
        <v>180</v>
      </c>
      <c r="F66" s="124"/>
      <c r="G66" s="124"/>
      <c r="H66" s="124"/>
      <c r="I66" s="124"/>
      <c r="J66" s="124"/>
      <c r="K66" s="124"/>
      <c r="L66" s="124"/>
    </row>
    <row r="67" spans="1:12" ht="62.1" customHeight="1" x14ac:dyDescent="0.3">
      <c r="A67" s="127" t="s">
        <v>98</v>
      </c>
      <c r="B67" s="127"/>
      <c r="C67" s="80">
        <v>0.06</v>
      </c>
      <c r="D67" s="33">
        <f>IF(D12*C67&gt;D66,"-",ROUND(D12*C67,2)*-1)</f>
        <v>-74.760000000000005</v>
      </c>
      <c r="E67" s="34" t="s">
        <v>99</v>
      </c>
      <c r="F67" s="124"/>
      <c r="G67" s="124"/>
      <c r="H67" s="124"/>
      <c r="I67" s="124"/>
      <c r="J67" s="124"/>
      <c r="K67" s="124"/>
      <c r="L67" s="124"/>
    </row>
    <row r="68" spans="1:12" ht="29.55" customHeight="1" x14ac:dyDescent="0.3">
      <c r="A68" s="126" t="s">
        <v>91</v>
      </c>
      <c r="B68" s="126"/>
      <c r="C68" s="78">
        <v>15</v>
      </c>
      <c r="D68" s="44">
        <f>C68</f>
        <v>15</v>
      </c>
      <c r="E68" s="45" t="s">
        <v>179</v>
      </c>
      <c r="F68" s="124"/>
      <c r="G68" s="124"/>
      <c r="H68" s="124"/>
      <c r="I68" s="124"/>
      <c r="J68" s="124"/>
      <c r="K68" s="124"/>
      <c r="L68" s="124"/>
    </row>
    <row r="69" spans="1:12" ht="44.55" customHeight="1" x14ac:dyDescent="0.3">
      <c r="A69" s="123" t="s">
        <v>178</v>
      </c>
      <c r="B69" s="123"/>
      <c r="C69" s="79">
        <v>10</v>
      </c>
      <c r="D69" s="32">
        <f>C69</f>
        <v>10</v>
      </c>
      <c r="E69" s="35" t="s">
        <v>177</v>
      </c>
      <c r="F69" s="124"/>
      <c r="G69" s="124"/>
      <c r="H69" s="124"/>
      <c r="I69" s="124"/>
      <c r="J69" s="124"/>
      <c r="K69" s="124"/>
      <c r="L69" s="124"/>
    </row>
    <row r="70" spans="1:12" ht="29.55" customHeight="1" x14ac:dyDescent="0.3">
      <c r="A70" s="126" t="s">
        <v>100</v>
      </c>
      <c r="B70" s="126"/>
      <c r="C70" s="78">
        <v>10</v>
      </c>
      <c r="D70" s="44">
        <f>C70</f>
        <v>10</v>
      </c>
      <c r="E70" s="45" t="s">
        <v>176</v>
      </c>
      <c r="F70" s="124"/>
      <c r="G70" s="124"/>
      <c r="H70" s="124"/>
      <c r="I70" s="124"/>
      <c r="J70" s="124"/>
      <c r="K70" s="124"/>
      <c r="L70" s="124"/>
    </row>
    <row r="71" spans="1:12" ht="25.5" customHeight="1" x14ac:dyDescent="0.3">
      <c r="A71" s="123" t="s">
        <v>61</v>
      </c>
      <c r="B71" s="123"/>
      <c r="C71" s="55" t="s">
        <v>74</v>
      </c>
      <c r="D71" s="32">
        <f>Uniforme!H9</f>
        <v>29.441666666666666</v>
      </c>
      <c r="E71" s="77" t="s">
        <v>197</v>
      </c>
      <c r="F71" s="124"/>
      <c r="G71" s="124"/>
      <c r="H71" s="124"/>
      <c r="I71" s="124"/>
      <c r="J71" s="124"/>
      <c r="K71" s="124"/>
      <c r="L71" s="124"/>
    </row>
    <row r="72" spans="1:12" ht="25.5" customHeight="1" x14ac:dyDescent="0.3">
      <c r="A72" s="118" t="s">
        <v>107</v>
      </c>
      <c r="B72" s="119"/>
      <c r="C72" s="56" t="s">
        <v>74</v>
      </c>
      <c r="D72" s="42">
        <f>EPIs!J6</f>
        <v>13.333333333333334</v>
      </c>
      <c r="E72" s="77" t="s">
        <v>198</v>
      </c>
      <c r="F72" s="3"/>
      <c r="G72" s="3"/>
      <c r="H72" s="3"/>
      <c r="I72" s="3"/>
      <c r="J72" s="3"/>
      <c r="K72" s="3"/>
      <c r="L72" s="3"/>
    </row>
    <row r="73" spans="1:12" ht="25.5" customHeight="1" x14ac:dyDescent="0.3">
      <c r="A73" s="123" t="s">
        <v>165</v>
      </c>
      <c r="B73" s="123"/>
      <c r="C73" s="55" t="s">
        <v>74</v>
      </c>
      <c r="D73" s="32">
        <f>'Material '!O28</f>
        <v>510.36</v>
      </c>
      <c r="E73" s="77" t="s">
        <v>199</v>
      </c>
      <c r="F73" s="3"/>
      <c r="G73" s="3"/>
      <c r="H73" s="3"/>
      <c r="I73" s="3"/>
      <c r="J73" s="3"/>
      <c r="K73" s="3"/>
      <c r="L73" s="3"/>
    </row>
    <row r="74" spans="1:12" ht="15" customHeight="1" x14ac:dyDescent="0.3">
      <c r="A74" s="120" t="s">
        <v>62</v>
      </c>
      <c r="B74" s="120"/>
      <c r="C74" s="120"/>
      <c r="D74" s="28">
        <f>ROUND(SUM(D63:D73),2)</f>
        <v>1077.58</v>
      </c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18"/>
      <c r="B75" s="18"/>
      <c r="C75" s="18"/>
      <c r="D75" s="7"/>
      <c r="E75" s="2"/>
      <c r="F75" s="2"/>
      <c r="G75" s="2"/>
      <c r="H75" s="2"/>
      <c r="I75" s="2"/>
      <c r="J75" s="2"/>
      <c r="K75" s="2"/>
      <c r="L75" s="2"/>
    </row>
    <row r="76" spans="1:12" ht="30" customHeight="1" x14ac:dyDescent="0.3">
      <c r="A76" s="108" t="s">
        <v>63</v>
      </c>
      <c r="B76" s="110"/>
      <c r="C76" s="109"/>
      <c r="D76" s="28">
        <f>ROUND(D59+D74,2)</f>
        <v>3279.67</v>
      </c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18"/>
      <c r="B77" s="18"/>
      <c r="C77" s="18"/>
      <c r="D77" s="7"/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111" t="s">
        <v>92</v>
      </c>
      <c r="B78" s="111"/>
      <c r="C78" s="111"/>
      <c r="D78" s="111"/>
      <c r="E78" s="111" t="s">
        <v>18</v>
      </c>
      <c r="F78" s="111" t="s">
        <v>40</v>
      </c>
      <c r="G78" s="111"/>
      <c r="H78" s="111"/>
      <c r="I78" s="111"/>
      <c r="J78" s="111"/>
      <c r="K78" s="111"/>
      <c r="L78" s="111"/>
    </row>
    <row r="79" spans="1:12" x14ac:dyDescent="0.3">
      <c r="A79" s="106" t="s">
        <v>64</v>
      </c>
      <c r="B79" s="107"/>
      <c r="C79" s="24" t="s">
        <v>6</v>
      </c>
      <c r="D79" s="24" t="s">
        <v>7</v>
      </c>
      <c r="E79" s="111"/>
      <c r="F79" s="111"/>
      <c r="G79" s="111"/>
      <c r="H79" s="111"/>
      <c r="I79" s="111"/>
      <c r="J79" s="111"/>
      <c r="K79" s="111"/>
      <c r="L79" s="111"/>
    </row>
    <row r="80" spans="1:12" s="1" customFormat="1" ht="30" customHeight="1" x14ac:dyDescent="0.3">
      <c r="A80" s="113" t="s">
        <v>65</v>
      </c>
      <c r="B80" s="114"/>
      <c r="C80" s="13">
        <v>0.05</v>
      </c>
      <c r="D80" s="17">
        <f>ROUND(D76*C80,2)</f>
        <v>163.98</v>
      </c>
      <c r="E80" s="121" t="s">
        <v>85</v>
      </c>
      <c r="F80" s="103" t="s">
        <v>175</v>
      </c>
      <c r="G80" s="103"/>
      <c r="H80" s="103"/>
      <c r="I80" s="103"/>
      <c r="J80" s="103"/>
      <c r="K80" s="103"/>
      <c r="L80" s="103"/>
    </row>
    <row r="81" spans="1:12" s="1" customFormat="1" ht="30" customHeight="1" x14ac:dyDescent="0.3">
      <c r="A81" s="116" t="s">
        <v>9</v>
      </c>
      <c r="B81" s="117"/>
      <c r="C81" s="38">
        <v>0.1</v>
      </c>
      <c r="D81" s="41">
        <f>ROUND(D76*C81,2)</f>
        <v>327.97</v>
      </c>
      <c r="E81" s="122"/>
      <c r="F81" s="103"/>
      <c r="G81" s="103"/>
      <c r="H81" s="103"/>
      <c r="I81" s="103"/>
      <c r="J81" s="103"/>
      <c r="K81" s="103"/>
      <c r="L81" s="103"/>
    </row>
    <row r="82" spans="1:12" x14ac:dyDescent="0.3">
      <c r="A82" s="108" t="s">
        <v>66</v>
      </c>
      <c r="B82" s="109"/>
      <c r="C82" s="31">
        <f>ROUND(SUM(C80:C81),5)</f>
        <v>0.15</v>
      </c>
      <c r="D82" s="28">
        <f>SUM(D80:D81)</f>
        <v>491.95000000000005</v>
      </c>
      <c r="E82" s="2"/>
      <c r="F82" s="2"/>
      <c r="G82" s="2"/>
      <c r="H82" s="2"/>
      <c r="I82" s="2"/>
      <c r="J82" s="2"/>
      <c r="K82" s="2"/>
      <c r="L82" s="2"/>
    </row>
    <row r="83" spans="1:12" x14ac:dyDescent="0.3">
      <c r="A83" s="18"/>
      <c r="B83" s="18"/>
      <c r="C83" s="6"/>
      <c r="D83" s="7"/>
      <c r="E83" s="2"/>
      <c r="F83" s="2"/>
      <c r="G83" s="2"/>
      <c r="H83" s="2"/>
      <c r="I83" s="2"/>
      <c r="J83" s="2"/>
      <c r="K83" s="2"/>
      <c r="L83" s="2"/>
    </row>
    <row r="84" spans="1:12" ht="30" customHeight="1" x14ac:dyDescent="0.3">
      <c r="A84" s="108" t="s">
        <v>86</v>
      </c>
      <c r="B84" s="110"/>
      <c r="C84" s="109"/>
      <c r="D84" s="28">
        <f>ROUND(D76+D82,2)</f>
        <v>3771.62</v>
      </c>
      <c r="E84" s="2"/>
      <c r="F84" s="2"/>
      <c r="G84" s="2"/>
      <c r="H84" s="2"/>
      <c r="I84" s="2"/>
      <c r="J84" s="2"/>
      <c r="K84" s="2"/>
      <c r="L84" s="2"/>
    </row>
    <row r="85" spans="1:12" x14ac:dyDescent="0.3">
      <c r="A85" s="18"/>
      <c r="B85" s="18"/>
      <c r="C85" s="18"/>
      <c r="D85" s="7"/>
      <c r="E85" s="2"/>
      <c r="F85" s="2"/>
      <c r="G85" s="2"/>
      <c r="H85" s="2"/>
      <c r="I85" s="2"/>
      <c r="J85" s="2"/>
      <c r="K85" s="2"/>
      <c r="L85" s="2"/>
    </row>
    <row r="86" spans="1:12" ht="35.25" customHeight="1" x14ac:dyDescent="0.3">
      <c r="A86" s="112" t="s">
        <v>77</v>
      </c>
      <c r="B86" s="112"/>
      <c r="C86" s="29">
        <f>ROUND(1-(SUM(C89:C91)/1),5)</f>
        <v>0.91349999999999998</v>
      </c>
      <c r="D86" s="28">
        <f>ROUND(D84/C86,2)</f>
        <v>4128.76</v>
      </c>
      <c r="E86" s="30"/>
      <c r="F86" s="2"/>
      <c r="G86" s="2"/>
      <c r="H86" s="2"/>
      <c r="I86" s="2"/>
      <c r="J86" s="2"/>
      <c r="K86" s="2"/>
      <c r="L86" s="2"/>
    </row>
    <row r="87" spans="1:1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">
      <c r="A88" s="106" t="s">
        <v>67</v>
      </c>
      <c r="B88" s="107"/>
      <c r="C88" s="24" t="s">
        <v>6</v>
      </c>
      <c r="D88" s="24" t="s">
        <v>7</v>
      </c>
      <c r="E88" s="24" t="s">
        <v>18</v>
      </c>
      <c r="F88" s="111" t="s">
        <v>40</v>
      </c>
      <c r="G88" s="111"/>
      <c r="H88" s="111"/>
      <c r="I88" s="111"/>
      <c r="J88" s="111"/>
      <c r="K88" s="111"/>
      <c r="L88" s="111"/>
    </row>
    <row r="89" spans="1:12" ht="22.05" customHeight="1" x14ac:dyDescent="0.3">
      <c r="A89" s="113" t="s">
        <v>68</v>
      </c>
      <c r="B89" s="114"/>
      <c r="C89" s="13">
        <v>0.05</v>
      </c>
      <c r="D89" s="5">
        <f>ROUND($D$86*C89,2)</f>
        <v>206.44</v>
      </c>
      <c r="E89" s="115" t="s">
        <v>87</v>
      </c>
      <c r="F89" s="103" t="s">
        <v>174</v>
      </c>
      <c r="G89" s="103"/>
      <c r="H89" s="103"/>
      <c r="I89" s="103"/>
      <c r="J89" s="103"/>
      <c r="K89" s="103"/>
      <c r="L89" s="103"/>
    </row>
    <row r="90" spans="1:12" ht="22.05" customHeight="1" x14ac:dyDescent="0.3">
      <c r="A90" s="116" t="s">
        <v>69</v>
      </c>
      <c r="B90" s="117"/>
      <c r="C90" s="38">
        <v>0.03</v>
      </c>
      <c r="D90" s="39">
        <f>ROUND($D$86*C90,2)</f>
        <v>123.86</v>
      </c>
      <c r="E90" s="115"/>
      <c r="F90" s="103"/>
      <c r="G90" s="103"/>
      <c r="H90" s="103"/>
      <c r="I90" s="103"/>
      <c r="J90" s="103"/>
      <c r="K90" s="103"/>
      <c r="L90" s="103"/>
    </row>
    <row r="91" spans="1:12" ht="22.05" customHeight="1" x14ac:dyDescent="0.3">
      <c r="A91" s="113" t="s">
        <v>70</v>
      </c>
      <c r="B91" s="114"/>
      <c r="C91" s="13">
        <v>6.4999999999999997E-3</v>
      </c>
      <c r="D91" s="5">
        <f>ROUND($D$86*C91,2)</f>
        <v>26.84</v>
      </c>
      <c r="E91" s="115"/>
      <c r="F91" s="103"/>
      <c r="G91" s="103"/>
      <c r="H91" s="103"/>
      <c r="I91" s="103"/>
      <c r="J91" s="103"/>
      <c r="K91" s="103"/>
      <c r="L91" s="103"/>
    </row>
    <row r="92" spans="1:12" x14ac:dyDescent="0.3">
      <c r="A92" s="108" t="s">
        <v>71</v>
      </c>
      <c r="B92" s="109"/>
      <c r="C92" s="29">
        <f>ROUND(SUM(C89:C91),5)</f>
        <v>8.6499999999999994E-2</v>
      </c>
      <c r="D92" s="28">
        <f>ROUND(SUM(D89:D91),2)</f>
        <v>357.14</v>
      </c>
      <c r="E92" s="2"/>
      <c r="F92" s="2"/>
      <c r="G92" s="2"/>
      <c r="H92" s="2"/>
      <c r="I92" s="2"/>
      <c r="J92" s="2"/>
      <c r="K92" s="2"/>
      <c r="L92" s="2"/>
    </row>
    <row r="93" spans="1:12" ht="10.050000000000001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25.05" customHeight="1" x14ac:dyDescent="0.3">
      <c r="A94" s="108" t="s">
        <v>72</v>
      </c>
      <c r="B94" s="110"/>
      <c r="C94" s="109"/>
      <c r="D94" s="28">
        <f>ROUND(D84+D92,2)</f>
        <v>4128.76</v>
      </c>
      <c r="E94" s="2"/>
      <c r="F94" s="2"/>
      <c r="G94" s="2"/>
      <c r="H94" s="2"/>
      <c r="I94" s="2"/>
      <c r="J94" s="2"/>
      <c r="K94" s="2"/>
      <c r="L94" s="2"/>
    </row>
    <row r="95" spans="1:12" ht="25.05" customHeight="1" x14ac:dyDescent="0.3">
      <c r="A95" s="108" t="s">
        <v>78</v>
      </c>
      <c r="B95" s="110"/>
      <c r="C95" s="109"/>
      <c r="D95" s="28">
        <f>ROUND(D94*12,2)</f>
        <v>49545.120000000003</v>
      </c>
      <c r="E95" s="2"/>
      <c r="F95" s="2"/>
      <c r="G95" s="2"/>
      <c r="H95" s="2"/>
      <c r="I95" s="2"/>
      <c r="J95" s="2"/>
      <c r="K95" s="2"/>
      <c r="L95" s="2"/>
    </row>
    <row r="96" spans="1:12" ht="25.05" customHeight="1" x14ac:dyDescent="0.3">
      <c r="A96" s="108" t="s">
        <v>202</v>
      </c>
      <c r="B96" s="110"/>
      <c r="C96" s="109"/>
      <c r="D96" s="28">
        <f>ROUND(D94/30,2)</f>
        <v>137.63</v>
      </c>
      <c r="E96" s="2"/>
      <c r="F96" s="2"/>
      <c r="G96" s="2"/>
      <c r="H96" s="2"/>
      <c r="I96" s="2"/>
      <c r="J96" s="2"/>
      <c r="K96" s="2"/>
      <c r="L96" s="2"/>
    </row>
    <row r="97" spans="1:12" ht="10.050000000000001" customHeight="1" x14ac:dyDescent="0.3">
      <c r="A97" s="18"/>
      <c r="B97" s="18"/>
      <c r="C97" s="18"/>
      <c r="D97" s="7"/>
      <c r="E97" s="2"/>
      <c r="F97" s="2"/>
      <c r="G97" s="2"/>
      <c r="H97" s="2"/>
      <c r="I97" s="2"/>
      <c r="J97" s="2"/>
      <c r="K97" s="2"/>
      <c r="L97" s="2"/>
    </row>
    <row r="98" spans="1:12" ht="15" customHeight="1" x14ac:dyDescent="0.3">
      <c r="A98" s="111" t="s">
        <v>73</v>
      </c>
      <c r="B98" s="111"/>
      <c r="C98" s="111"/>
      <c r="D98" s="26" t="s">
        <v>6</v>
      </c>
      <c r="E98" s="2"/>
      <c r="F98" s="2"/>
      <c r="G98" s="2"/>
      <c r="H98" s="2"/>
      <c r="I98" s="2"/>
      <c r="J98" s="2"/>
      <c r="K98" s="2"/>
      <c r="L98" s="2"/>
    </row>
    <row r="99" spans="1:12" ht="15" customHeight="1" x14ac:dyDescent="0.3">
      <c r="A99" s="103" t="s">
        <v>88</v>
      </c>
      <c r="B99" s="103"/>
      <c r="C99" s="103"/>
      <c r="D99" s="16">
        <f>C26</f>
        <v>0.39800000000000002</v>
      </c>
      <c r="E99" s="2"/>
      <c r="F99" s="2"/>
      <c r="G99" s="2"/>
      <c r="H99" s="2"/>
      <c r="I99" s="2"/>
      <c r="J99" s="2"/>
      <c r="K99" s="2"/>
      <c r="L99" s="2"/>
    </row>
    <row r="100" spans="1:12" ht="15" customHeight="1" x14ac:dyDescent="0.3">
      <c r="A100" s="104" t="s">
        <v>38</v>
      </c>
      <c r="B100" s="104"/>
      <c r="C100" s="104"/>
      <c r="D100" s="40">
        <f>C38</f>
        <v>0.23483000000000001</v>
      </c>
      <c r="E100" s="2"/>
      <c r="F100" s="2"/>
      <c r="G100" s="2"/>
      <c r="H100" s="2"/>
      <c r="I100" s="2"/>
      <c r="J100" s="2"/>
      <c r="K100" s="2"/>
      <c r="L100" s="2"/>
    </row>
    <row r="101" spans="1:12" ht="15" customHeight="1" x14ac:dyDescent="0.3">
      <c r="A101" s="103" t="s">
        <v>45</v>
      </c>
      <c r="B101" s="103"/>
      <c r="C101" s="103"/>
      <c r="D101" s="16">
        <f>C44</f>
        <v>3.7839999999999999E-2</v>
      </c>
      <c r="E101" s="2"/>
      <c r="F101" s="2"/>
      <c r="G101" s="2"/>
      <c r="H101" s="2"/>
      <c r="I101" s="2"/>
      <c r="J101" s="2"/>
      <c r="K101" s="2"/>
      <c r="L101" s="2"/>
    </row>
    <row r="102" spans="1:12" ht="15" customHeight="1" x14ac:dyDescent="0.3">
      <c r="A102" s="104" t="s">
        <v>50</v>
      </c>
      <c r="B102" s="104"/>
      <c r="C102" s="104"/>
      <c r="D102" s="40">
        <f>C48</f>
        <v>9.3460000000000001E-2</v>
      </c>
      <c r="E102" s="2"/>
      <c r="F102" s="2"/>
      <c r="G102" s="2"/>
      <c r="H102" s="2"/>
      <c r="I102" s="2"/>
      <c r="J102" s="2"/>
      <c r="K102" s="2"/>
      <c r="L102" s="2"/>
    </row>
    <row r="103" spans="1:12" ht="15" customHeight="1" x14ac:dyDescent="0.3">
      <c r="A103" s="103" t="s">
        <v>53</v>
      </c>
      <c r="B103" s="103"/>
      <c r="C103" s="103"/>
      <c r="D103" s="16">
        <f>C52</f>
        <v>3.3E-4</v>
      </c>
      <c r="E103" s="2"/>
      <c r="F103" s="2"/>
      <c r="G103" s="2"/>
      <c r="H103" s="2"/>
      <c r="I103" s="2"/>
      <c r="J103" s="2"/>
      <c r="K103" s="2"/>
      <c r="L103" s="2"/>
    </row>
    <row r="104" spans="1:12" ht="15" customHeight="1" x14ac:dyDescent="0.3">
      <c r="A104" s="104" t="s">
        <v>57</v>
      </c>
      <c r="B104" s="104"/>
      <c r="C104" s="104"/>
      <c r="D104" s="40">
        <f>C56</f>
        <v>2.8700000000000002E-3</v>
      </c>
      <c r="E104" s="2"/>
      <c r="F104" s="2"/>
      <c r="G104" s="2"/>
      <c r="H104" s="2"/>
      <c r="I104" s="2"/>
      <c r="J104" s="2"/>
      <c r="K104" s="2"/>
      <c r="L104" s="2"/>
    </row>
    <row r="105" spans="1:12" ht="15" customHeight="1" x14ac:dyDescent="0.3">
      <c r="A105" s="105" t="s">
        <v>89</v>
      </c>
      <c r="B105" s="105"/>
      <c r="C105" s="105"/>
      <c r="D105" s="27">
        <f>ROUND(SUM(D99:D104),5)</f>
        <v>0.76732999999999996</v>
      </c>
      <c r="E105" s="2"/>
      <c r="F105" s="2"/>
      <c r="G105" s="2"/>
      <c r="H105" s="2"/>
      <c r="I105" s="2"/>
      <c r="J105" s="2"/>
      <c r="K105" s="2"/>
      <c r="L105" s="2"/>
    </row>
    <row r="106" spans="1:12" ht="10.050000000000001" customHeight="1" x14ac:dyDescent="0.3"/>
    <row r="107" spans="1:12" x14ac:dyDescent="0.3">
      <c r="A107" s="106" t="s">
        <v>173</v>
      </c>
      <c r="B107" s="107"/>
      <c r="C107" s="24" t="s">
        <v>172</v>
      </c>
      <c r="D107" s="26" t="s">
        <v>6</v>
      </c>
    </row>
    <row r="108" spans="1:12" x14ac:dyDescent="0.3">
      <c r="A108" s="97" t="s">
        <v>171</v>
      </c>
      <c r="B108" s="98"/>
      <c r="C108" s="76">
        <f>D14</f>
        <v>1246</v>
      </c>
      <c r="D108" s="16">
        <f>ROUND(C108/$C$112,5)</f>
        <v>0.30179</v>
      </c>
    </row>
    <row r="109" spans="1:12" ht="24.6" customHeight="1" x14ac:dyDescent="0.3">
      <c r="A109" s="99" t="s">
        <v>170</v>
      </c>
      <c r="B109" s="100"/>
      <c r="C109" s="75">
        <f>D57</f>
        <v>956.09</v>
      </c>
      <c r="D109" s="40">
        <f>ROUND(C109/$C$112,5)</f>
        <v>0.23157</v>
      </c>
    </row>
    <row r="110" spans="1:12" x14ac:dyDescent="0.3">
      <c r="A110" s="97" t="s">
        <v>169</v>
      </c>
      <c r="B110" s="98"/>
      <c r="C110" s="76">
        <f>D74</f>
        <v>1077.58</v>
      </c>
      <c r="D110" s="16">
        <f>ROUND(C110/$C$112,5)</f>
        <v>0.26099</v>
      </c>
    </row>
    <row r="111" spans="1:12" x14ac:dyDescent="0.3">
      <c r="A111" s="99" t="s">
        <v>168</v>
      </c>
      <c r="B111" s="100"/>
      <c r="C111" s="75">
        <f>ROUND(D82+D92,2)</f>
        <v>849.09</v>
      </c>
      <c r="D111" s="40">
        <f>ROUND(C111/$C$112,5)</f>
        <v>0.20565</v>
      </c>
    </row>
    <row r="112" spans="1:12" x14ac:dyDescent="0.3">
      <c r="A112" s="101" t="s">
        <v>167</v>
      </c>
      <c r="B112" s="102"/>
      <c r="C112" s="74">
        <f>ROUND(SUM(C108:C111),2)</f>
        <v>4128.76</v>
      </c>
      <c r="D112" s="29">
        <f>ROUND(SUM(D108:D111),5)</f>
        <v>1</v>
      </c>
    </row>
  </sheetData>
  <mergeCells count="115">
    <mergeCell ref="B7:D7"/>
    <mergeCell ref="A73:B73"/>
    <mergeCell ref="A96:C96"/>
    <mergeCell ref="A1:L1"/>
    <mergeCell ref="B2:D2"/>
    <mergeCell ref="B3:D3"/>
    <mergeCell ref="B4:D4"/>
    <mergeCell ref="B5:D5"/>
    <mergeCell ref="B6:D6"/>
    <mergeCell ref="A9:L9"/>
    <mergeCell ref="A10:D10"/>
    <mergeCell ref="E10:E11"/>
    <mergeCell ref="F10:L11"/>
    <mergeCell ref="A11:B11"/>
    <mergeCell ref="A12:B12"/>
    <mergeCell ref="F12:L13"/>
    <mergeCell ref="A13:B13"/>
    <mergeCell ref="A14:C14"/>
    <mergeCell ref="A16:D16"/>
    <mergeCell ref="E16:E17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8:B28"/>
    <mergeCell ref="F28:L28"/>
    <mergeCell ref="A29:B29"/>
    <mergeCell ref="F29:L37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40:B40"/>
    <mergeCell ref="F40:L40"/>
    <mergeCell ref="A41:B41"/>
    <mergeCell ref="F41:L43"/>
    <mergeCell ref="A42:B42"/>
    <mergeCell ref="A43:B43"/>
    <mergeCell ref="A44:B44"/>
    <mergeCell ref="A46:B46"/>
    <mergeCell ref="A47:B47"/>
    <mergeCell ref="A48:B48"/>
    <mergeCell ref="A50:B50"/>
    <mergeCell ref="F50:L50"/>
    <mergeCell ref="A51:B51"/>
    <mergeCell ref="F51:L51"/>
    <mergeCell ref="A52:B52"/>
    <mergeCell ref="A54:B54"/>
    <mergeCell ref="A55:B55"/>
    <mergeCell ref="A56:B56"/>
    <mergeCell ref="A57:B57"/>
    <mergeCell ref="A59:C59"/>
    <mergeCell ref="A61:D61"/>
    <mergeCell ref="E61:E62"/>
    <mergeCell ref="F61:L62"/>
    <mergeCell ref="A62:B62"/>
    <mergeCell ref="A63:B63"/>
    <mergeCell ref="F63:L71"/>
    <mergeCell ref="A64:B64"/>
    <mergeCell ref="A65:B65"/>
    <mergeCell ref="A66:B66"/>
    <mergeCell ref="A67:B67"/>
    <mergeCell ref="A68:B68"/>
    <mergeCell ref="A69:B69"/>
    <mergeCell ref="A70:B70"/>
    <mergeCell ref="A71:B71"/>
    <mergeCell ref="F88:L88"/>
    <mergeCell ref="A89:B89"/>
    <mergeCell ref="E89:E91"/>
    <mergeCell ref="F89:L91"/>
    <mergeCell ref="A90:B90"/>
    <mergeCell ref="A91:B91"/>
    <mergeCell ref="A72:B72"/>
    <mergeCell ref="A74:C74"/>
    <mergeCell ref="A76:C76"/>
    <mergeCell ref="A78:D78"/>
    <mergeCell ref="E78:E79"/>
    <mergeCell ref="F78:L79"/>
    <mergeCell ref="A79:B79"/>
    <mergeCell ref="A80:B80"/>
    <mergeCell ref="E80:E81"/>
    <mergeCell ref="F80:L81"/>
    <mergeCell ref="A81:B81"/>
    <mergeCell ref="A92:B92"/>
    <mergeCell ref="A94:C94"/>
    <mergeCell ref="A95:C95"/>
    <mergeCell ref="A98:C98"/>
    <mergeCell ref="A99:C99"/>
    <mergeCell ref="A100:C100"/>
    <mergeCell ref="A108:B108"/>
    <mergeCell ref="A109:B109"/>
    <mergeCell ref="A82:B82"/>
    <mergeCell ref="A84:C84"/>
    <mergeCell ref="A86:B86"/>
    <mergeCell ref="A88:B88"/>
    <mergeCell ref="A110:B110"/>
    <mergeCell ref="A111:B111"/>
    <mergeCell ref="A112:B112"/>
    <mergeCell ref="A101:C101"/>
    <mergeCell ref="A102:C102"/>
    <mergeCell ref="A103:C103"/>
    <mergeCell ref="A104:C104"/>
    <mergeCell ref="A105:C105"/>
    <mergeCell ref="A107:B107"/>
  </mergeCells>
  <pageMargins left="0.23622047244094491" right="0.23622047244094491" top="1.3385826771653544" bottom="0.74803149606299213" header="0.9055118110236221" footer="0.31496062992125984"/>
  <pageSetup scale="70" fitToHeight="0" orientation="landscape" r:id="rId1"/>
  <headerFooter>
    <oddHeader>&amp;C&amp;"Arial Black,Normal"&amp;36COREN-AM&amp;"Arial Black,Regular" &amp;"Arial Black,Normal"&amp;24- Custo de Mão de Obra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910D4-E5B1-47A8-B3C7-79DF30B23C2D}">
  <sheetPr>
    <pageSetUpPr fitToPage="1"/>
  </sheetPr>
  <dimension ref="A1:I10"/>
  <sheetViews>
    <sheetView workbookViewId="0">
      <selection activeCell="G14" sqref="G14"/>
    </sheetView>
  </sheetViews>
  <sheetFormatPr defaultRowHeight="14.4" x14ac:dyDescent="0.3"/>
  <sheetData>
    <row r="1" spans="1:9" x14ac:dyDescent="0.3">
      <c r="A1" s="137" t="s">
        <v>114</v>
      </c>
      <c r="B1" s="137"/>
      <c r="C1" s="137"/>
      <c r="D1" s="137"/>
      <c r="E1" s="137"/>
      <c r="F1" s="137"/>
      <c r="G1" s="137"/>
      <c r="H1" s="137"/>
      <c r="I1" s="137"/>
    </row>
    <row r="2" spans="1:9" ht="43.05" customHeight="1" x14ac:dyDescent="0.3">
      <c r="A2" s="24" t="s">
        <v>73</v>
      </c>
      <c r="B2" s="149" t="s">
        <v>110</v>
      </c>
      <c r="C2" s="149"/>
      <c r="D2" s="24" t="s">
        <v>101</v>
      </c>
      <c r="E2" s="24" t="s">
        <v>111</v>
      </c>
      <c r="F2" s="111" t="s">
        <v>112</v>
      </c>
      <c r="G2" s="111"/>
      <c r="H2" s="111" t="s">
        <v>113</v>
      </c>
      <c r="I2" s="111"/>
    </row>
    <row r="3" spans="1:9" x14ac:dyDescent="0.3">
      <c r="A3" s="58">
        <v>1</v>
      </c>
      <c r="B3" s="103" t="s">
        <v>115</v>
      </c>
      <c r="C3" s="145"/>
      <c r="D3" s="58" t="s">
        <v>102</v>
      </c>
      <c r="E3" s="58">
        <v>4</v>
      </c>
      <c r="F3" s="146">
        <v>20</v>
      </c>
      <c r="G3" s="146"/>
      <c r="H3" s="146">
        <f t="shared" ref="H3:H7" si="0">F3*E3</f>
        <v>80</v>
      </c>
      <c r="I3" s="146"/>
    </row>
    <row r="4" spans="1:9" x14ac:dyDescent="0.3">
      <c r="A4" s="56">
        <f>A3+1</f>
        <v>2</v>
      </c>
      <c r="B4" s="116" t="s">
        <v>116</v>
      </c>
      <c r="C4" s="117"/>
      <c r="D4" s="56" t="s">
        <v>102</v>
      </c>
      <c r="E4" s="56">
        <v>2</v>
      </c>
      <c r="F4" s="147">
        <v>45</v>
      </c>
      <c r="G4" s="148"/>
      <c r="H4" s="147">
        <f t="shared" si="0"/>
        <v>90</v>
      </c>
      <c r="I4" s="148"/>
    </row>
    <row r="5" spans="1:9" x14ac:dyDescent="0.3">
      <c r="A5" s="55">
        <f t="shared" ref="A5:A7" si="1">A4+1</f>
        <v>3</v>
      </c>
      <c r="B5" s="115" t="s">
        <v>117</v>
      </c>
      <c r="C5" s="123"/>
      <c r="D5" s="55" t="s">
        <v>118</v>
      </c>
      <c r="E5" s="55">
        <v>5</v>
      </c>
      <c r="F5" s="150">
        <v>3</v>
      </c>
      <c r="G5" s="150"/>
      <c r="H5" s="150">
        <f t="shared" si="0"/>
        <v>15</v>
      </c>
      <c r="I5" s="150"/>
    </row>
    <row r="6" spans="1:9" x14ac:dyDescent="0.3">
      <c r="A6" s="56">
        <f t="shared" si="1"/>
        <v>4</v>
      </c>
      <c r="B6" s="104" t="s">
        <v>119</v>
      </c>
      <c r="C6" s="126"/>
      <c r="D6" s="56" t="s">
        <v>118</v>
      </c>
      <c r="E6" s="56">
        <v>2</v>
      </c>
      <c r="F6" s="151">
        <v>81.5</v>
      </c>
      <c r="G6" s="151"/>
      <c r="H6" s="151">
        <f t="shared" si="0"/>
        <v>163</v>
      </c>
      <c r="I6" s="151"/>
    </row>
    <row r="7" spans="1:9" x14ac:dyDescent="0.3">
      <c r="A7" s="55">
        <f t="shared" si="1"/>
        <v>5</v>
      </c>
      <c r="B7" s="115" t="s">
        <v>120</v>
      </c>
      <c r="C7" s="123"/>
      <c r="D7" s="55" t="s">
        <v>102</v>
      </c>
      <c r="E7" s="55">
        <v>1</v>
      </c>
      <c r="F7" s="150">
        <v>5.3</v>
      </c>
      <c r="G7" s="150"/>
      <c r="H7" s="150">
        <f t="shared" si="0"/>
        <v>5.3</v>
      </c>
      <c r="I7" s="150"/>
    </row>
    <row r="8" spans="1:9" x14ac:dyDescent="0.3">
      <c r="A8" s="153" t="s">
        <v>121</v>
      </c>
      <c r="B8" s="154"/>
      <c r="C8" s="154"/>
      <c r="D8" s="154"/>
      <c r="E8" s="154"/>
      <c r="F8" s="154"/>
      <c r="G8" s="155"/>
      <c r="H8" s="156">
        <f>SUM(H3:I7)</f>
        <v>353.3</v>
      </c>
      <c r="I8" s="157"/>
    </row>
    <row r="9" spans="1:9" x14ac:dyDescent="0.3">
      <c r="A9" s="153" t="s">
        <v>122</v>
      </c>
      <c r="B9" s="154"/>
      <c r="C9" s="154"/>
      <c r="D9" s="154"/>
      <c r="E9" s="154"/>
      <c r="F9" s="154"/>
      <c r="G9" s="155"/>
      <c r="H9" s="156">
        <f>H8/12</f>
        <v>29.441666666666666</v>
      </c>
      <c r="I9" s="157"/>
    </row>
    <row r="10" spans="1:9" x14ac:dyDescent="0.3">
      <c r="A10" s="152" t="s">
        <v>209</v>
      </c>
      <c r="B10" s="152"/>
      <c r="C10" s="152"/>
      <c r="D10" s="152"/>
      <c r="E10" s="152"/>
      <c r="F10" s="152"/>
      <c r="G10" s="152"/>
      <c r="H10" s="152"/>
      <c r="I10" s="152"/>
    </row>
  </sheetData>
  <mergeCells count="24">
    <mergeCell ref="A10:I10"/>
    <mergeCell ref="B7:C7"/>
    <mergeCell ref="F7:G7"/>
    <mergeCell ref="H7:I7"/>
    <mergeCell ref="A8:G8"/>
    <mergeCell ref="H8:I8"/>
    <mergeCell ref="A9:G9"/>
    <mergeCell ref="H9:I9"/>
    <mergeCell ref="B5:C5"/>
    <mergeCell ref="F5:G5"/>
    <mergeCell ref="H5:I5"/>
    <mergeCell ref="B6:C6"/>
    <mergeCell ref="F6:G6"/>
    <mergeCell ref="H6:I6"/>
    <mergeCell ref="A1:I1"/>
    <mergeCell ref="B3:C3"/>
    <mergeCell ref="F3:G3"/>
    <mergeCell ref="H3:I3"/>
    <mergeCell ref="B4:C4"/>
    <mergeCell ref="F4:G4"/>
    <mergeCell ref="H4:I4"/>
    <mergeCell ref="B2:C2"/>
    <mergeCell ref="F2:G2"/>
    <mergeCell ref="H2:I2"/>
  </mergeCells>
  <pageMargins left="0.23622047244094491" right="0.23622047244094491" top="1.5354330708661419" bottom="1.1417322834645669" header="0.9055118110236221" footer="0.31496062992125984"/>
  <pageSetup fitToHeight="0" orientation="landscape" r:id="rId1"/>
  <headerFooter>
    <oddHeader>&amp;C&amp;"Arial Black,Normal"&amp;16COREN-AM&amp;"-,Regular"&amp;11 &amp;"Arial Black,Normal"&amp;14-  Composição de Custo da Mão de Obra com Material - Diarista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88D49-A315-4CEE-A239-284E4443D7EF}">
  <sheetPr>
    <pageSetUpPr fitToPage="1"/>
  </sheetPr>
  <dimension ref="A1:K7"/>
  <sheetViews>
    <sheetView workbookViewId="0">
      <selection activeCell="A8" sqref="A8"/>
    </sheetView>
  </sheetViews>
  <sheetFormatPr defaultRowHeight="14.4" x14ac:dyDescent="0.3"/>
  <sheetData>
    <row r="1" spans="1:11" x14ac:dyDescent="0.3">
      <c r="A1" s="137" t="s">
        <v>107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</row>
    <row r="2" spans="1:11" ht="46.05" customHeight="1" x14ac:dyDescent="0.3">
      <c r="A2" s="24" t="s">
        <v>73</v>
      </c>
      <c r="B2" s="149" t="s">
        <v>110</v>
      </c>
      <c r="C2" s="149"/>
      <c r="D2" s="149"/>
      <c r="E2" s="149"/>
      <c r="F2" s="24" t="s">
        <v>101</v>
      </c>
      <c r="G2" s="24" t="s">
        <v>123</v>
      </c>
      <c r="H2" s="111" t="s">
        <v>112</v>
      </c>
      <c r="I2" s="111"/>
      <c r="J2" s="111" t="s">
        <v>113</v>
      </c>
      <c r="K2" s="111"/>
    </row>
    <row r="3" spans="1:11" ht="27" customHeight="1" x14ac:dyDescent="0.3">
      <c r="A3" s="58">
        <v>1</v>
      </c>
      <c r="B3" s="103" t="s">
        <v>137</v>
      </c>
      <c r="C3" s="103"/>
      <c r="D3" s="103"/>
      <c r="E3" s="103"/>
      <c r="F3" s="21" t="s">
        <v>124</v>
      </c>
      <c r="G3" s="21">
        <v>12</v>
      </c>
      <c r="H3" s="146">
        <v>10</v>
      </c>
      <c r="I3" s="146"/>
      <c r="J3" s="146">
        <f>H3*G3</f>
        <v>120</v>
      </c>
      <c r="K3" s="146"/>
    </row>
    <row r="4" spans="1:11" x14ac:dyDescent="0.3">
      <c r="A4" s="56">
        <v>2</v>
      </c>
      <c r="B4" s="104" t="s">
        <v>125</v>
      </c>
      <c r="C4" s="104"/>
      <c r="D4" s="104"/>
      <c r="E4" s="104"/>
      <c r="F4" s="48" t="s">
        <v>124</v>
      </c>
      <c r="G4" s="48">
        <v>2</v>
      </c>
      <c r="H4" s="151">
        <v>20</v>
      </c>
      <c r="I4" s="151"/>
      <c r="J4" s="151">
        <f>H4*G4</f>
        <v>40</v>
      </c>
      <c r="K4" s="151"/>
    </row>
    <row r="5" spans="1:11" x14ac:dyDescent="0.3">
      <c r="A5" s="158" t="s">
        <v>126</v>
      </c>
      <c r="B5" s="158"/>
      <c r="C5" s="158"/>
      <c r="D5" s="158"/>
      <c r="E5" s="158"/>
      <c r="F5" s="158"/>
      <c r="G5" s="158"/>
      <c r="H5" s="158"/>
      <c r="I5" s="158"/>
      <c r="J5" s="159">
        <f>SUM(J3:K4)</f>
        <v>160</v>
      </c>
      <c r="K5" s="160"/>
    </row>
    <row r="6" spans="1:11" x14ac:dyDescent="0.3">
      <c r="A6" s="161" t="s">
        <v>127</v>
      </c>
      <c r="B6" s="161"/>
      <c r="C6" s="161"/>
      <c r="D6" s="161"/>
      <c r="E6" s="161"/>
      <c r="F6" s="161"/>
      <c r="G6" s="161"/>
      <c r="H6" s="161"/>
      <c r="I6" s="161"/>
      <c r="J6" s="159">
        <f>J5/12</f>
        <v>13.333333333333334</v>
      </c>
      <c r="K6" s="160"/>
    </row>
    <row r="7" spans="1:11" x14ac:dyDescent="0.3">
      <c r="A7" s="152" t="s">
        <v>209</v>
      </c>
      <c r="B7" s="152"/>
      <c r="C7" s="152"/>
      <c r="D7" s="152"/>
      <c r="E7" s="152"/>
      <c r="F7" s="152"/>
      <c r="G7" s="152"/>
      <c r="H7" s="152"/>
      <c r="I7" s="152"/>
      <c r="J7" s="152"/>
      <c r="K7" s="152"/>
    </row>
  </sheetData>
  <mergeCells count="15">
    <mergeCell ref="A5:I5"/>
    <mergeCell ref="J5:K5"/>
    <mergeCell ref="A6:I6"/>
    <mergeCell ref="J6:K6"/>
    <mergeCell ref="A7:K7"/>
    <mergeCell ref="B4:E4"/>
    <mergeCell ref="H4:I4"/>
    <mergeCell ref="J4:K4"/>
    <mergeCell ref="A1:K1"/>
    <mergeCell ref="B2:E2"/>
    <mergeCell ref="H2:I2"/>
    <mergeCell ref="J2:K2"/>
    <mergeCell ref="B3:E3"/>
    <mergeCell ref="H3:I3"/>
    <mergeCell ref="J3:K3"/>
  </mergeCells>
  <pageMargins left="0.23622047244094491" right="0.23622047244094491" top="1.5354330708661419" bottom="1.1417322834645669" header="0.9055118110236221" footer="0.31496062992125984"/>
  <pageSetup fitToHeight="0" orientation="landscape" r:id="rId1"/>
  <headerFooter>
    <oddHeader>&amp;C&amp;"Arial Black,Normal"&amp;16COREN-AM&amp;"-,Regular"&amp;11 &amp;"Arial Black,Normal"&amp;14-  Composição de Custo da Mão de Obra com Material - Diarista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D537E-8A80-4907-8DE5-CB9EF26108AC}">
  <sheetPr>
    <pageSetUpPr fitToPage="1"/>
  </sheetPr>
  <dimension ref="A1:O29"/>
  <sheetViews>
    <sheetView topLeftCell="A13" workbookViewId="0">
      <selection activeCell="A30" sqref="A30"/>
    </sheetView>
  </sheetViews>
  <sheetFormatPr defaultRowHeight="14.4" x14ac:dyDescent="0.3"/>
  <cols>
    <col min="11" max="11" width="8.77734375" customWidth="1"/>
    <col min="12" max="12" width="10.21875" customWidth="1"/>
    <col min="13" max="13" width="10.44140625" bestFit="1" customWidth="1"/>
    <col min="14" max="14" width="16.21875" customWidth="1"/>
    <col min="15" max="15" width="15.44140625" customWidth="1"/>
  </cols>
  <sheetData>
    <row r="1" spans="1:15" x14ac:dyDescent="0.3">
      <c r="A1" s="137" t="s">
        <v>128</v>
      </c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15" ht="28.5" customHeight="1" x14ac:dyDescent="0.3">
      <c r="A2" s="61" t="s">
        <v>73</v>
      </c>
      <c r="B2" s="106" t="s">
        <v>129</v>
      </c>
      <c r="C2" s="165"/>
      <c r="D2" s="165"/>
      <c r="E2" s="165"/>
      <c r="F2" s="165"/>
      <c r="G2" s="165"/>
      <c r="H2" s="165"/>
      <c r="I2" s="165"/>
      <c r="J2" s="165"/>
      <c r="K2" s="107"/>
      <c r="L2" s="24" t="s">
        <v>101</v>
      </c>
      <c r="M2" s="24" t="s">
        <v>138</v>
      </c>
      <c r="N2" s="24" t="s">
        <v>133</v>
      </c>
      <c r="O2" s="24" t="s">
        <v>164</v>
      </c>
    </row>
    <row r="3" spans="1:15" ht="15" customHeight="1" x14ac:dyDescent="0.3">
      <c r="A3" s="72">
        <v>1</v>
      </c>
      <c r="B3" s="163" t="s">
        <v>139</v>
      </c>
      <c r="C3" s="163"/>
      <c r="D3" s="163"/>
      <c r="E3" s="163"/>
      <c r="F3" s="163"/>
      <c r="G3" s="163"/>
      <c r="H3" s="163"/>
      <c r="I3" s="163"/>
      <c r="J3" s="163"/>
      <c r="K3" s="163"/>
      <c r="L3" s="59" t="s">
        <v>140</v>
      </c>
      <c r="M3" s="59">
        <v>12</v>
      </c>
      <c r="N3" s="60">
        <v>4.03</v>
      </c>
      <c r="O3" s="60">
        <f>ROUND(M3*N3,2)</f>
        <v>48.36</v>
      </c>
    </row>
    <row r="4" spans="1:15" ht="45" customHeight="1" x14ac:dyDescent="0.3">
      <c r="A4" s="63">
        <f>A3+1</f>
        <v>2</v>
      </c>
      <c r="B4" s="164" t="s">
        <v>141</v>
      </c>
      <c r="C4" s="164"/>
      <c r="D4" s="164"/>
      <c r="E4" s="164"/>
      <c r="F4" s="164"/>
      <c r="G4" s="164"/>
      <c r="H4" s="164"/>
      <c r="I4" s="164"/>
      <c r="J4" s="164"/>
      <c r="K4" s="164"/>
      <c r="L4" s="64" t="s">
        <v>140</v>
      </c>
      <c r="M4" s="64">
        <v>12</v>
      </c>
      <c r="N4" s="62">
        <v>7.09</v>
      </c>
      <c r="O4" s="62">
        <f t="shared" ref="O4:O26" si="0">ROUND(M4*N4,2)</f>
        <v>85.08</v>
      </c>
    </row>
    <row r="5" spans="1:15" ht="15" customHeight="1" x14ac:dyDescent="0.3">
      <c r="A5" s="72">
        <f>A4+1</f>
        <v>3</v>
      </c>
      <c r="B5" s="163" t="s">
        <v>142</v>
      </c>
      <c r="C5" s="163"/>
      <c r="D5" s="163"/>
      <c r="E5" s="163"/>
      <c r="F5" s="163"/>
      <c r="G5" s="163"/>
      <c r="H5" s="163"/>
      <c r="I5" s="163"/>
      <c r="J5" s="163"/>
      <c r="K5" s="163"/>
      <c r="L5" s="59" t="s">
        <v>102</v>
      </c>
      <c r="M5" s="59">
        <v>2</v>
      </c>
      <c r="N5" s="60">
        <v>14.99</v>
      </c>
      <c r="O5" s="60">
        <f t="shared" si="0"/>
        <v>29.98</v>
      </c>
    </row>
    <row r="6" spans="1:15" ht="45" customHeight="1" x14ac:dyDescent="0.3">
      <c r="A6" s="63">
        <f t="shared" ref="A6:A26" si="1">A5+1</f>
        <v>4</v>
      </c>
      <c r="B6" s="164" t="s">
        <v>143</v>
      </c>
      <c r="C6" s="164"/>
      <c r="D6" s="164"/>
      <c r="E6" s="164"/>
      <c r="F6" s="164"/>
      <c r="G6" s="164"/>
      <c r="H6" s="164"/>
      <c r="I6" s="164"/>
      <c r="J6" s="164"/>
      <c r="K6" s="164"/>
      <c r="L6" s="64" t="s">
        <v>140</v>
      </c>
      <c r="M6" s="64">
        <v>6</v>
      </c>
      <c r="N6" s="62">
        <v>61.95</v>
      </c>
      <c r="O6" s="62">
        <f t="shared" si="0"/>
        <v>371.7</v>
      </c>
    </row>
    <row r="7" spans="1:15" ht="15" customHeight="1" x14ac:dyDescent="0.3">
      <c r="A7" s="72">
        <f t="shared" si="1"/>
        <v>5</v>
      </c>
      <c r="B7" s="163" t="s">
        <v>144</v>
      </c>
      <c r="C7" s="163"/>
      <c r="D7" s="163"/>
      <c r="E7" s="163"/>
      <c r="F7" s="163"/>
      <c r="G7" s="163"/>
      <c r="H7" s="163"/>
      <c r="I7" s="163"/>
      <c r="J7" s="163"/>
      <c r="K7" s="163"/>
      <c r="L7" s="59" t="s">
        <v>102</v>
      </c>
      <c r="M7" s="59">
        <v>24</v>
      </c>
      <c r="N7" s="60">
        <v>7.43</v>
      </c>
      <c r="O7" s="60">
        <f t="shared" si="0"/>
        <v>178.32</v>
      </c>
    </row>
    <row r="8" spans="1:15" ht="15" customHeight="1" x14ac:dyDescent="0.3">
      <c r="A8" s="63">
        <f t="shared" si="1"/>
        <v>6</v>
      </c>
      <c r="B8" s="164" t="s">
        <v>145</v>
      </c>
      <c r="C8" s="164"/>
      <c r="D8" s="164"/>
      <c r="E8" s="164"/>
      <c r="F8" s="164"/>
      <c r="G8" s="164"/>
      <c r="H8" s="164"/>
      <c r="I8" s="164"/>
      <c r="J8" s="164"/>
      <c r="K8" s="164"/>
      <c r="L8" s="64" t="s">
        <v>102</v>
      </c>
      <c r="M8" s="64">
        <v>2</v>
      </c>
      <c r="N8" s="62">
        <v>7.03</v>
      </c>
      <c r="O8" s="62">
        <f t="shared" si="0"/>
        <v>14.06</v>
      </c>
    </row>
    <row r="9" spans="1:15" ht="15" customHeight="1" x14ac:dyDescent="0.3">
      <c r="A9" s="72">
        <f t="shared" si="1"/>
        <v>7</v>
      </c>
      <c r="B9" s="163" t="s">
        <v>146</v>
      </c>
      <c r="C9" s="163"/>
      <c r="D9" s="163"/>
      <c r="E9" s="163"/>
      <c r="F9" s="163"/>
      <c r="G9" s="163"/>
      <c r="H9" s="163"/>
      <c r="I9" s="163"/>
      <c r="J9" s="163"/>
      <c r="K9" s="163"/>
      <c r="L9" s="59" t="s">
        <v>102</v>
      </c>
      <c r="M9" s="59">
        <v>24</v>
      </c>
      <c r="N9" s="60">
        <v>1.8</v>
      </c>
      <c r="O9" s="60">
        <f t="shared" si="0"/>
        <v>43.2</v>
      </c>
    </row>
    <row r="10" spans="1:15" ht="15" customHeight="1" x14ac:dyDescent="0.3">
      <c r="A10" s="63">
        <f t="shared" si="1"/>
        <v>8</v>
      </c>
      <c r="B10" s="164" t="s">
        <v>147</v>
      </c>
      <c r="C10" s="164"/>
      <c r="D10" s="164"/>
      <c r="E10" s="164"/>
      <c r="F10" s="164"/>
      <c r="G10" s="164"/>
      <c r="H10" s="164"/>
      <c r="I10" s="164"/>
      <c r="J10" s="164"/>
      <c r="K10" s="164"/>
      <c r="L10" s="64" t="s">
        <v>102</v>
      </c>
      <c r="M10" s="64">
        <v>24</v>
      </c>
      <c r="N10" s="62">
        <v>6.22</v>
      </c>
      <c r="O10" s="62">
        <f t="shared" si="0"/>
        <v>149.28</v>
      </c>
    </row>
    <row r="11" spans="1:15" ht="15" customHeight="1" x14ac:dyDescent="0.3">
      <c r="A11" s="72">
        <f t="shared" si="1"/>
        <v>9</v>
      </c>
      <c r="B11" s="163" t="s">
        <v>148</v>
      </c>
      <c r="C11" s="163"/>
      <c r="D11" s="163"/>
      <c r="E11" s="163"/>
      <c r="F11" s="163"/>
      <c r="G11" s="163"/>
      <c r="H11" s="163"/>
      <c r="I11" s="163"/>
      <c r="J11" s="163"/>
      <c r="K11" s="163"/>
      <c r="L11" s="59" t="s">
        <v>102</v>
      </c>
      <c r="M11" s="59">
        <v>24</v>
      </c>
      <c r="N11" s="60">
        <v>9.65</v>
      </c>
      <c r="O11" s="60">
        <f t="shared" si="0"/>
        <v>231.6</v>
      </c>
    </row>
    <row r="12" spans="1:15" s="73" customFormat="1" ht="45" customHeight="1" x14ac:dyDescent="0.3">
      <c r="A12" s="63">
        <f t="shared" si="1"/>
        <v>10</v>
      </c>
      <c r="B12" s="164" t="s">
        <v>149</v>
      </c>
      <c r="C12" s="164"/>
      <c r="D12" s="164"/>
      <c r="E12" s="164"/>
      <c r="F12" s="164"/>
      <c r="G12" s="164"/>
      <c r="H12" s="164"/>
      <c r="I12" s="164"/>
      <c r="J12" s="164"/>
      <c r="K12" s="164"/>
      <c r="L12" s="64" t="s">
        <v>140</v>
      </c>
      <c r="M12" s="64">
        <v>6</v>
      </c>
      <c r="N12" s="62">
        <v>36.28</v>
      </c>
      <c r="O12" s="62">
        <f t="shared" si="0"/>
        <v>217.68</v>
      </c>
    </row>
    <row r="13" spans="1:15" ht="15" customHeight="1" x14ac:dyDescent="0.3">
      <c r="A13" s="72">
        <f>A12+1</f>
        <v>11</v>
      </c>
      <c r="B13" s="163" t="s">
        <v>150</v>
      </c>
      <c r="C13" s="163"/>
      <c r="D13" s="163"/>
      <c r="E13" s="163"/>
      <c r="F13" s="163"/>
      <c r="G13" s="163"/>
      <c r="H13" s="163"/>
      <c r="I13" s="163"/>
      <c r="J13" s="163"/>
      <c r="K13" s="163"/>
      <c r="L13" s="59" t="s">
        <v>140</v>
      </c>
      <c r="M13" s="59">
        <v>3</v>
      </c>
      <c r="N13" s="60">
        <v>12.22</v>
      </c>
      <c r="O13" s="60">
        <f t="shared" si="0"/>
        <v>36.659999999999997</v>
      </c>
    </row>
    <row r="14" spans="1:15" ht="15" customHeight="1" x14ac:dyDescent="0.3">
      <c r="A14" s="63">
        <f t="shared" si="1"/>
        <v>12</v>
      </c>
      <c r="B14" s="164" t="s">
        <v>151</v>
      </c>
      <c r="C14" s="164"/>
      <c r="D14" s="164"/>
      <c r="E14" s="164"/>
      <c r="F14" s="164"/>
      <c r="G14" s="164"/>
      <c r="H14" s="164"/>
      <c r="I14" s="164"/>
      <c r="J14" s="164"/>
      <c r="K14" s="164"/>
      <c r="L14" s="64" t="s">
        <v>102</v>
      </c>
      <c r="M14" s="64">
        <v>12</v>
      </c>
      <c r="N14" s="62">
        <v>3.02</v>
      </c>
      <c r="O14" s="62">
        <f t="shared" si="0"/>
        <v>36.24</v>
      </c>
    </row>
    <row r="15" spans="1:15" ht="15" customHeight="1" x14ac:dyDescent="0.3">
      <c r="A15" s="72">
        <f t="shared" si="1"/>
        <v>13</v>
      </c>
      <c r="B15" s="163" t="s">
        <v>152</v>
      </c>
      <c r="C15" s="163"/>
      <c r="D15" s="163"/>
      <c r="E15" s="163"/>
      <c r="F15" s="163"/>
      <c r="G15" s="163"/>
      <c r="H15" s="163"/>
      <c r="I15" s="163"/>
      <c r="J15" s="163"/>
      <c r="K15" s="163"/>
      <c r="L15" s="59" t="s">
        <v>118</v>
      </c>
      <c r="M15" s="59">
        <v>12</v>
      </c>
      <c r="N15" s="60">
        <v>16.79</v>
      </c>
      <c r="O15" s="60">
        <f t="shared" si="0"/>
        <v>201.48</v>
      </c>
    </row>
    <row r="16" spans="1:15" ht="15" customHeight="1" x14ac:dyDescent="0.3">
      <c r="A16" s="63">
        <f t="shared" si="1"/>
        <v>14</v>
      </c>
      <c r="B16" s="164" t="s">
        <v>153</v>
      </c>
      <c r="C16" s="164"/>
      <c r="D16" s="164"/>
      <c r="E16" s="164"/>
      <c r="F16" s="164"/>
      <c r="G16" s="164"/>
      <c r="H16" s="164"/>
      <c r="I16" s="164"/>
      <c r="J16" s="164"/>
      <c r="K16" s="164"/>
      <c r="L16" s="64" t="s">
        <v>102</v>
      </c>
      <c r="M16" s="64">
        <v>2</v>
      </c>
      <c r="N16" s="62">
        <v>35.81</v>
      </c>
      <c r="O16" s="62">
        <f t="shared" si="0"/>
        <v>71.62</v>
      </c>
    </row>
    <row r="17" spans="1:15" ht="15" customHeight="1" x14ac:dyDescent="0.3">
      <c r="A17" s="72">
        <f t="shared" si="1"/>
        <v>15</v>
      </c>
      <c r="B17" s="163" t="s">
        <v>154</v>
      </c>
      <c r="C17" s="163"/>
      <c r="D17" s="163"/>
      <c r="E17" s="163"/>
      <c r="F17" s="163"/>
      <c r="G17" s="163"/>
      <c r="H17" s="163"/>
      <c r="I17" s="163"/>
      <c r="J17" s="163"/>
      <c r="K17" s="163"/>
      <c r="L17" s="59" t="s">
        <v>102</v>
      </c>
      <c r="M17" s="59">
        <v>24</v>
      </c>
      <c r="N17" s="60">
        <v>4.16</v>
      </c>
      <c r="O17" s="60">
        <f t="shared" si="0"/>
        <v>99.84</v>
      </c>
    </row>
    <row r="18" spans="1:15" ht="45" customHeight="1" x14ac:dyDescent="0.3">
      <c r="A18" s="63">
        <f t="shared" si="1"/>
        <v>16</v>
      </c>
      <c r="B18" s="164" t="s">
        <v>130</v>
      </c>
      <c r="C18" s="164"/>
      <c r="D18" s="164"/>
      <c r="E18" s="164"/>
      <c r="F18" s="164"/>
      <c r="G18" s="164"/>
      <c r="H18" s="164"/>
      <c r="I18" s="164"/>
      <c r="J18" s="164"/>
      <c r="K18" s="164"/>
      <c r="L18" s="64" t="s">
        <v>131</v>
      </c>
      <c r="M18" s="64">
        <v>2</v>
      </c>
      <c r="N18" s="62">
        <v>59.72</v>
      </c>
      <c r="O18" s="62">
        <f t="shared" si="0"/>
        <v>119.44</v>
      </c>
    </row>
    <row r="19" spans="1:15" ht="15" customHeight="1" x14ac:dyDescent="0.3">
      <c r="A19" s="65">
        <f t="shared" si="1"/>
        <v>17</v>
      </c>
      <c r="B19" s="163" t="s">
        <v>155</v>
      </c>
      <c r="C19" s="163"/>
      <c r="D19" s="163"/>
      <c r="E19" s="163"/>
      <c r="F19" s="163"/>
      <c r="G19" s="163"/>
      <c r="H19" s="163"/>
      <c r="I19" s="163"/>
      <c r="J19" s="163"/>
      <c r="K19" s="163"/>
      <c r="L19" s="59" t="s">
        <v>102</v>
      </c>
      <c r="M19" s="59">
        <v>72</v>
      </c>
      <c r="N19" s="60">
        <v>15.03</v>
      </c>
      <c r="O19" s="60">
        <f t="shared" si="0"/>
        <v>1082.1600000000001</v>
      </c>
    </row>
    <row r="20" spans="1:15" ht="15" customHeight="1" x14ac:dyDescent="0.3">
      <c r="A20" s="63">
        <f t="shared" si="1"/>
        <v>18</v>
      </c>
      <c r="B20" s="164" t="s">
        <v>156</v>
      </c>
      <c r="C20" s="164"/>
      <c r="D20" s="164"/>
      <c r="E20" s="164"/>
      <c r="F20" s="164"/>
      <c r="G20" s="164"/>
      <c r="H20" s="164"/>
      <c r="I20" s="164"/>
      <c r="J20" s="164"/>
      <c r="K20" s="164"/>
      <c r="L20" s="64" t="s">
        <v>102</v>
      </c>
      <c r="M20" s="64">
        <v>48</v>
      </c>
      <c r="N20" s="62">
        <v>1.36</v>
      </c>
      <c r="O20" s="62">
        <f t="shared" si="0"/>
        <v>65.28</v>
      </c>
    </row>
    <row r="21" spans="1:15" ht="15" customHeight="1" x14ac:dyDescent="0.3">
      <c r="A21" s="65">
        <f t="shared" si="1"/>
        <v>19</v>
      </c>
      <c r="B21" s="163" t="s">
        <v>157</v>
      </c>
      <c r="C21" s="163"/>
      <c r="D21" s="163"/>
      <c r="E21" s="163"/>
      <c r="F21" s="163"/>
      <c r="G21" s="163"/>
      <c r="H21" s="163"/>
      <c r="I21" s="163"/>
      <c r="J21" s="163"/>
      <c r="K21" s="163"/>
      <c r="L21" s="59" t="s">
        <v>102</v>
      </c>
      <c r="M21" s="59">
        <v>2</v>
      </c>
      <c r="N21" s="60">
        <v>15.45</v>
      </c>
      <c r="O21" s="60">
        <f t="shared" si="0"/>
        <v>30.9</v>
      </c>
    </row>
    <row r="22" spans="1:15" ht="15" customHeight="1" x14ac:dyDescent="0.3">
      <c r="A22" s="63">
        <f t="shared" si="1"/>
        <v>20</v>
      </c>
      <c r="B22" s="164" t="s">
        <v>158</v>
      </c>
      <c r="C22" s="164"/>
      <c r="D22" s="164"/>
      <c r="E22" s="164"/>
      <c r="F22" s="164"/>
      <c r="G22" s="164"/>
      <c r="H22" s="164"/>
      <c r="I22" s="164"/>
      <c r="J22" s="164"/>
      <c r="K22" s="164"/>
      <c r="L22" s="64" t="s">
        <v>159</v>
      </c>
      <c r="M22" s="64">
        <v>24</v>
      </c>
      <c r="N22" s="62">
        <v>34.24</v>
      </c>
      <c r="O22" s="62">
        <f t="shared" si="0"/>
        <v>821.76</v>
      </c>
    </row>
    <row r="23" spans="1:15" ht="15" customHeight="1" x14ac:dyDescent="0.3">
      <c r="A23" s="72">
        <f t="shared" si="1"/>
        <v>21</v>
      </c>
      <c r="B23" s="163" t="s">
        <v>160</v>
      </c>
      <c r="C23" s="163"/>
      <c r="D23" s="163"/>
      <c r="E23" s="163"/>
      <c r="F23" s="163"/>
      <c r="G23" s="163"/>
      <c r="H23" s="163"/>
      <c r="I23" s="163"/>
      <c r="J23" s="163"/>
      <c r="K23" s="163"/>
      <c r="L23" s="59" t="s">
        <v>140</v>
      </c>
      <c r="M23" s="59">
        <v>120</v>
      </c>
      <c r="N23" s="60">
        <v>15.2</v>
      </c>
      <c r="O23" s="60">
        <f t="shared" si="0"/>
        <v>1824</v>
      </c>
    </row>
    <row r="24" spans="1:15" ht="15" customHeight="1" x14ac:dyDescent="0.3">
      <c r="A24" s="63">
        <f t="shared" si="1"/>
        <v>22</v>
      </c>
      <c r="B24" s="164" t="s">
        <v>132</v>
      </c>
      <c r="C24" s="164"/>
      <c r="D24" s="164"/>
      <c r="E24" s="164"/>
      <c r="F24" s="164"/>
      <c r="G24" s="164"/>
      <c r="H24" s="164"/>
      <c r="I24" s="164"/>
      <c r="J24" s="164"/>
      <c r="K24" s="164"/>
      <c r="L24" s="64" t="s">
        <v>102</v>
      </c>
      <c r="M24" s="64">
        <v>12</v>
      </c>
      <c r="N24" s="62">
        <v>22.93</v>
      </c>
      <c r="O24" s="62">
        <f t="shared" si="0"/>
        <v>275.16000000000003</v>
      </c>
    </row>
    <row r="25" spans="1:15" ht="15" customHeight="1" x14ac:dyDescent="0.3">
      <c r="A25" s="72">
        <f t="shared" si="1"/>
        <v>23</v>
      </c>
      <c r="B25" s="163" t="s">
        <v>161</v>
      </c>
      <c r="C25" s="163"/>
      <c r="D25" s="163"/>
      <c r="E25" s="163"/>
      <c r="F25" s="163"/>
      <c r="G25" s="163"/>
      <c r="H25" s="163"/>
      <c r="I25" s="163"/>
      <c r="J25" s="163"/>
      <c r="K25" s="163"/>
      <c r="L25" s="59" t="s">
        <v>102</v>
      </c>
      <c r="M25" s="59">
        <v>12</v>
      </c>
      <c r="N25" s="60">
        <v>5.4</v>
      </c>
      <c r="O25" s="60">
        <f t="shared" si="0"/>
        <v>64.8</v>
      </c>
    </row>
    <row r="26" spans="1:15" ht="15" customHeight="1" x14ac:dyDescent="0.3">
      <c r="A26" s="63">
        <f t="shared" si="1"/>
        <v>24</v>
      </c>
      <c r="B26" s="164" t="s">
        <v>162</v>
      </c>
      <c r="C26" s="164"/>
      <c r="D26" s="164"/>
      <c r="E26" s="164"/>
      <c r="F26" s="164"/>
      <c r="G26" s="164"/>
      <c r="H26" s="164"/>
      <c r="I26" s="164"/>
      <c r="J26" s="164"/>
      <c r="K26" s="164"/>
      <c r="L26" s="64" t="s">
        <v>102</v>
      </c>
      <c r="M26" s="64">
        <v>2</v>
      </c>
      <c r="N26" s="62">
        <v>12.87</v>
      </c>
      <c r="O26" s="62">
        <f t="shared" si="0"/>
        <v>25.74</v>
      </c>
    </row>
    <row r="27" spans="1:15" x14ac:dyDescent="0.3">
      <c r="A27" s="162" t="s">
        <v>163</v>
      </c>
      <c r="B27" s="162"/>
      <c r="C27" s="162"/>
      <c r="D27" s="162"/>
      <c r="E27" s="162"/>
      <c r="F27" s="162"/>
      <c r="G27" s="162"/>
      <c r="H27" s="162"/>
      <c r="I27" s="162"/>
      <c r="J27" s="162"/>
      <c r="K27" s="162"/>
      <c r="L27" s="162"/>
      <c r="M27" s="162"/>
      <c r="N27" s="162"/>
      <c r="O27" s="57">
        <f>ROUND(SUM(O3:O26),2)</f>
        <v>6124.34</v>
      </c>
    </row>
    <row r="28" spans="1:15" x14ac:dyDescent="0.3">
      <c r="A28" s="162" t="s">
        <v>166</v>
      </c>
      <c r="B28" s="162"/>
      <c r="C28" s="162"/>
      <c r="D28" s="162"/>
      <c r="E28" s="162"/>
      <c r="F28" s="162"/>
      <c r="G28" s="162"/>
      <c r="H28" s="162"/>
      <c r="I28" s="162"/>
      <c r="J28" s="162"/>
      <c r="K28" s="162"/>
      <c r="L28" s="162"/>
      <c r="M28" s="162"/>
      <c r="N28" s="162"/>
      <c r="O28" s="57">
        <f>ROUND(O27/12,2)</f>
        <v>510.36</v>
      </c>
    </row>
    <row r="29" spans="1:15" x14ac:dyDescent="0.3">
      <c r="A29" s="152" t="s">
        <v>208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  <c r="O29" s="152"/>
    </row>
  </sheetData>
  <mergeCells count="29">
    <mergeCell ref="B25:K25"/>
    <mergeCell ref="B26:K26"/>
    <mergeCell ref="A28:N28"/>
    <mergeCell ref="B23:K23"/>
    <mergeCell ref="B19:K19"/>
    <mergeCell ref="B20:K20"/>
    <mergeCell ref="B21:K21"/>
    <mergeCell ref="B24:K24"/>
    <mergeCell ref="B15:K15"/>
    <mergeCell ref="B16:K16"/>
    <mergeCell ref="B17:K17"/>
    <mergeCell ref="B18:K18"/>
    <mergeCell ref="B22:K22"/>
    <mergeCell ref="A1:O1"/>
    <mergeCell ref="A27:N27"/>
    <mergeCell ref="B7:K7"/>
    <mergeCell ref="B8:K8"/>
    <mergeCell ref="A29:O29"/>
    <mergeCell ref="B2:K2"/>
    <mergeCell ref="B3:K3"/>
    <mergeCell ref="B4:K4"/>
    <mergeCell ref="B5:K5"/>
    <mergeCell ref="B6:K6"/>
    <mergeCell ref="B9:K9"/>
    <mergeCell ref="B10:K10"/>
    <mergeCell ref="B11:K11"/>
    <mergeCell ref="B12:K12"/>
    <mergeCell ref="B13:K13"/>
    <mergeCell ref="B14:K14"/>
  </mergeCells>
  <pageMargins left="0.23622047244094491" right="0.23622047244094491" top="1.5354330708661419" bottom="1.1417322834645669" header="0.9055118110236221" footer="0.31496062992125984"/>
  <pageSetup scale="67" fitToHeight="0" orientation="portrait" r:id="rId1"/>
  <headerFooter>
    <oddHeader>&amp;C&amp;"Arial Black,Normal"&amp;16COREN-AM&amp;"-,Regular"&amp;11 &amp;"Arial Black,Normal"&amp;14-  Composição de Custo da Mão de Obra com Material - Diarista</oddHeader>
    <oddFooter>&amp;L&amp;"Arial,Normal"&amp;8Rua Tapajós, 350 – Centro, Manaus-AM, 69010-150
Horário: 8h às 16 horas. 
Telefone: (92) 3232-9924
http://www.corenam.gov.br/
e-mail: selic@corenam.gov.br&amp;C&amp;"Arial,Normal"&amp;8Página &amp;P de &amp;N&amp;R&amp;"Arial,Normal"&amp;8SELIC/COREN-AM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5</vt:i4>
      </vt:variant>
      <vt:variant>
        <vt:lpstr>Intervalos Nomeados</vt:lpstr>
      </vt:variant>
      <vt:variant>
        <vt:i4>5</vt:i4>
      </vt:variant>
    </vt:vector>
  </HeadingPairs>
  <TitlesOfParts>
    <vt:vector size="10" baseType="lpstr">
      <vt:lpstr>Quadro Geral de Custo</vt:lpstr>
      <vt:lpstr>Agente de Limpeza</vt:lpstr>
      <vt:lpstr>Uniforme</vt:lpstr>
      <vt:lpstr>EPIs</vt:lpstr>
      <vt:lpstr>Material </vt:lpstr>
      <vt:lpstr>'Agente de Limpeza'!Area_de_impressao</vt:lpstr>
      <vt:lpstr>EPIs!Area_de_impressao</vt:lpstr>
      <vt:lpstr>'Material '!Area_de_impressao</vt:lpstr>
      <vt:lpstr>'Quadro Geral de Custo'!Area_de_impressao</vt:lpstr>
      <vt:lpstr>Uniforme!Area_de_impressao</vt:lpstr>
    </vt:vector>
  </TitlesOfParts>
  <Company>Conselho Federal de Enfermagem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Abraao Azevedo</dc:creator>
  <cp:lastModifiedBy>admin</cp:lastModifiedBy>
  <cp:lastPrinted>2023-01-04T14:39:41Z</cp:lastPrinted>
  <dcterms:created xsi:type="dcterms:W3CDTF">2019-11-11T13:48:18Z</dcterms:created>
  <dcterms:modified xsi:type="dcterms:W3CDTF">2023-04-20T17:54:20Z</dcterms:modified>
</cp:coreProperties>
</file>