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EstaPastaDeTrabalho" defaultThemeVersion="124226"/>
  <mc:AlternateContent xmlns:mc="http://schemas.openxmlformats.org/markup-compatibility/2006">
    <mc:Choice Requires="x15">
      <x15ac:absPath xmlns:x15ac="http://schemas.microsoft.com/office/spreadsheetml/2010/11/ac" url="V:\PROCESSOS LICITATÓRIOS\2022\Em Andamento\PAD 403 - Dermanda Serviço de Agente de Portaria\"/>
    </mc:Choice>
  </mc:AlternateContent>
  <xr:revisionPtr revIDLastSave="0" documentId="13_ncr:1_{5225D4A0-44FD-4D29-99C3-EA896CBA35D6}" xr6:coauthVersionLast="47" xr6:coauthVersionMax="47" xr10:uidLastSave="{00000000-0000-0000-0000-000000000000}"/>
  <bookViews>
    <workbookView xWindow="28680" yWindow="-120" windowWidth="20730" windowHeight="11040" firstSheet="3" activeTab="3" xr2:uid="{425700BB-CCA3-465F-BE4A-3E280126D125}"/>
  </bookViews>
  <sheets>
    <sheet name="Quantidade de Cargo" sheetId="64" state="hidden" r:id="rId1"/>
    <sheet name="Quantidade de Hora-Extra" sheetId="31" state="hidden" r:id="rId2"/>
    <sheet name="Dados de Passagens e Diarias" sheetId="69" state="hidden" r:id="rId3"/>
    <sheet name="Modelo de Proposta" sheetId="92" r:id="rId4"/>
    <sheet name="Quadro Geral de Custo" sheetId="71" r:id="rId5"/>
    <sheet name="Agente de Portaria" sheetId="35" r:id="rId6"/>
    <sheet name="Uniforme" sheetId="80" r:id="rId7"/>
    <sheet name="Manutenção Equip." sheetId="82" r:id="rId8"/>
    <sheet name="Previsão de Hora-Extra" sheetId="72" r:id="rId9"/>
    <sheet name="Hr-Extra Agente de Portaria" sheetId="91" r:id="rId10"/>
  </sheets>
  <definedNames>
    <definedName name="_xlnm.Print_Area" localSheetId="5">'Agente de Portaria'!$A$1:$D$107</definedName>
    <definedName name="_xlnm.Print_Area" localSheetId="2">'Dados de Passagens e Diarias'!$A$1:$E$6</definedName>
    <definedName name="_xlnm.Print_Area" localSheetId="9">'Hr-Extra Agente de Portaria'!$A$1:$D$106</definedName>
    <definedName name="_xlnm.Print_Area" localSheetId="7">'Manutenção Equip.'!$A$1:$F$11</definedName>
    <definedName name="_xlnm.Print_Area" localSheetId="3">'Modelo de Proposta'!$A$1:$I$35</definedName>
    <definedName name="_xlnm.Print_Area" localSheetId="8">'Previsão de Hora-Extra'!$A$1:$F$13</definedName>
    <definedName name="_xlnm.Print_Area" localSheetId="4">'Quadro Geral de Custo'!$A$1:$H$19</definedName>
    <definedName name="_xlnm.Print_Area" localSheetId="0">'Quantidade de Cargo'!$A$1:$R$39</definedName>
    <definedName name="_xlnm.Print_Area" localSheetId="1">'Quantidade de Hora-Extra'!$A$1:$F$9</definedName>
    <definedName name="_xlnm.Print_Area" localSheetId="6">Uniforme!$A$1:$F$13</definedName>
  </definedNames>
  <calcPr calcId="191029"/>
</workbook>
</file>

<file path=xl/calcChain.xml><?xml version="1.0" encoding="utf-8"?>
<calcChain xmlns="http://schemas.openxmlformats.org/spreadsheetml/2006/main">
  <c r="F20" i="92" l="1"/>
  <c r="H20" i="92"/>
  <c r="H21" i="92"/>
  <c r="D28" i="92" s="1"/>
  <c r="G31" i="92"/>
  <c r="F10" i="80" l="1"/>
  <c r="F9" i="80"/>
  <c r="F11" i="80" s="1"/>
  <c r="A9" i="80"/>
  <c r="A10" i="80" s="1"/>
  <c r="F5" i="80"/>
  <c r="F4" i="80"/>
  <c r="F6" i="80" s="1"/>
  <c r="A4" i="80"/>
  <c r="A5" i="80" s="1"/>
  <c r="B4" i="71"/>
  <c r="C24" i="91"/>
  <c r="D11" i="91"/>
  <c r="B6" i="91"/>
  <c r="B3" i="91"/>
  <c r="B2" i="91"/>
  <c r="B4" i="72" s="1"/>
  <c r="F4" i="82"/>
  <c r="F5" i="82"/>
  <c r="F6" i="82"/>
  <c r="D65" i="35"/>
  <c r="D62" i="91"/>
  <c r="D10" i="72"/>
  <c r="D5" i="72"/>
  <c r="C4" i="72"/>
  <c r="C5" i="72" s="1"/>
  <c r="C9" i="72" l="1"/>
  <c r="C10" i="72" s="1"/>
  <c r="F12" i="80"/>
  <c r="F13" i="80" s="1"/>
  <c r="D68" i="35" s="1"/>
  <c r="D12" i="91"/>
  <c r="C82" i="91"/>
  <c r="C76" i="91"/>
  <c r="C72" i="91"/>
  <c r="D63" i="91"/>
  <c r="C42" i="91"/>
  <c r="C41" i="91"/>
  <c r="C40" i="91"/>
  <c r="C36" i="91"/>
  <c r="C35" i="91"/>
  <c r="C34" i="91"/>
  <c r="C33" i="91"/>
  <c r="C32" i="91"/>
  <c r="C31" i="91"/>
  <c r="C30" i="91"/>
  <c r="C29" i="91"/>
  <c r="C28" i="91"/>
  <c r="C25" i="91"/>
  <c r="D93" i="91" s="1"/>
  <c r="C41" i="35"/>
  <c r="C36" i="35"/>
  <c r="C35" i="35"/>
  <c r="C34" i="35"/>
  <c r="C33" i="35"/>
  <c r="C32" i="35"/>
  <c r="C31" i="35"/>
  <c r="C29" i="35"/>
  <c r="A3" i="82"/>
  <c r="A4" i="82" s="1"/>
  <c r="A5" i="82" s="1"/>
  <c r="A6" i="82" s="1"/>
  <c r="F3" i="82"/>
  <c r="F7" i="82" s="1"/>
  <c r="C43" i="91" l="1"/>
  <c r="D95" i="91" s="1"/>
  <c r="C37" i="91"/>
  <c r="D94" i="91" s="1"/>
  <c r="D13" i="91"/>
  <c r="D36" i="91" s="1"/>
  <c r="D64" i="91"/>
  <c r="C104" i="91" s="1"/>
  <c r="C50" i="91"/>
  <c r="C51" i="91" s="1"/>
  <c r="D97" i="91" s="1"/>
  <c r="C54" i="91"/>
  <c r="C55" i="91" s="1"/>
  <c r="D98" i="91" s="1"/>
  <c r="F8" i="82"/>
  <c r="F9" i="82"/>
  <c r="C46" i="91" l="1"/>
  <c r="C47" i="91" s="1"/>
  <c r="D96" i="91" s="1"/>
  <c r="D35" i="91"/>
  <c r="D23" i="91"/>
  <c r="D17" i="91"/>
  <c r="D21" i="91"/>
  <c r="D28" i="91"/>
  <c r="C102" i="91"/>
  <c r="D32" i="91"/>
  <c r="D99" i="91"/>
  <c r="D42" i="91"/>
  <c r="D31" i="91"/>
  <c r="D22" i="91"/>
  <c r="D24" i="91"/>
  <c r="D18" i="91"/>
  <c r="D41" i="91"/>
  <c r="D29" i="91"/>
  <c r="D30" i="91"/>
  <c r="D19" i="91"/>
  <c r="D33" i="91"/>
  <c r="C56" i="91"/>
  <c r="D34" i="91"/>
  <c r="D40" i="91"/>
  <c r="D20" i="91"/>
  <c r="D54" i="91"/>
  <c r="D55" i="91" s="1"/>
  <c r="D46" i="91"/>
  <c r="D47" i="91" s="1"/>
  <c r="D50" i="91"/>
  <c r="D51" i="91" s="1"/>
  <c r="F10" i="82"/>
  <c r="D25" i="91" l="1"/>
  <c r="D37" i="91"/>
  <c r="D43" i="91"/>
  <c r="D69" i="35"/>
  <c r="D56" i="91" l="1"/>
  <c r="C103" i="91" s="1"/>
  <c r="D67" i="35"/>
  <c r="D64" i="35"/>
  <c r="D62" i="35"/>
  <c r="E8" i="31"/>
  <c r="F8" i="31" s="1"/>
  <c r="E6" i="31"/>
  <c r="F6" i="31" s="1"/>
  <c r="E5" i="31"/>
  <c r="F5" i="31" s="1"/>
  <c r="E4" i="31"/>
  <c r="F4" i="31" s="1"/>
  <c r="A8" i="31"/>
  <c r="A7" i="31"/>
  <c r="A6" i="31"/>
  <c r="A5" i="31"/>
  <c r="A4" i="31"/>
  <c r="B9" i="72" s="1"/>
  <c r="D38" i="64"/>
  <c r="C38" i="64"/>
  <c r="B38" i="64"/>
  <c r="E37" i="64"/>
  <c r="E36" i="64"/>
  <c r="E35" i="64"/>
  <c r="E34" i="64"/>
  <c r="E33" i="64"/>
  <c r="E32" i="64"/>
  <c r="E31" i="64"/>
  <c r="E30" i="64"/>
  <c r="E29" i="64"/>
  <c r="E28" i="64"/>
  <c r="E27" i="64"/>
  <c r="E26" i="64"/>
  <c r="E25" i="64"/>
  <c r="E24" i="64"/>
  <c r="R17" i="64"/>
  <c r="R16" i="64"/>
  <c r="B9" i="31"/>
  <c r="F17" i="71"/>
  <c r="E5" i="69"/>
  <c r="B4" i="69"/>
  <c r="D9" i="31"/>
  <c r="C9" i="31"/>
  <c r="E7" i="31"/>
  <c r="F7" i="31" s="1"/>
  <c r="R8" i="64"/>
  <c r="R7" i="64"/>
  <c r="D63" i="35" l="1"/>
  <c r="D5" i="71"/>
  <c r="D58" i="91"/>
  <c r="D66" i="91" s="1"/>
  <c r="D71" i="91" s="1"/>
  <c r="D66" i="35"/>
  <c r="D70" i="35" s="1"/>
  <c r="E38" i="64"/>
  <c r="F9" i="31"/>
  <c r="E9" i="31"/>
  <c r="D70" i="91" l="1"/>
  <c r="D72" i="91" s="1"/>
  <c r="D74" i="91" s="1"/>
  <c r="D76" i="91" l="1"/>
  <c r="D79" i="91" l="1"/>
  <c r="D81" i="91"/>
  <c r="D80" i="91"/>
  <c r="D82" i="91" l="1"/>
  <c r="C105" i="91" l="1"/>
  <c r="C106" i="91" s="1"/>
  <c r="D84" i="91"/>
  <c r="D88" i="91" s="1"/>
  <c r="D89" i="91" l="1"/>
  <c r="E4" i="72" s="1"/>
  <c r="D90" i="91"/>
  <c r="E9" i="72" s="1"/>
  <c r="D85" i="91"/>
  <c r="D102" i="91"/>
  <c r="D104" i="91"/>
  <c r="D103" i="91"/>
  <c r="D105" i="91"/>
  <c r="Q18" i="64"/>
  <c r="P18" i="64"/>
  <c r="O18" i="64"/>
  <c r="N18" i="64"/>
  <c r="M18" i="64"/>
  <c r="L18" i="64"/>
  <c r="K18" i="64"/>
  <c r="J18" i="64"/>
  <c r="I18" i="64"/>
  <c r="H18" i="64"/>
  <c r="G18" i="64"/>
  <c r="F18" i="64"/>
  <c r="E18" i="64"/>
  <c r="D18" i="64"/>
  <c r="C18" i="64"/>
  <c r="B18" i="64"/>
  <c r="R15" i="64"/>
  <c r="R14" i="64"/>
  <c r="R13" i="64"/>
  <c r="R12" i="64"/>
  <c r="R11" i="64"/>
  <c r="R10" i="64"/>
  <c r="R9" i="64"/>
  <c r="R6" i="64"/>
  <c r="R5" i="64"/>
  <c r="R4" i="64"/>
  <c r="C88" i="35"/>
  <c r="C82" i="35"/>
  <c r="C78" i="35"/>
  <c r="C42" i="35"/>
  <c r="C40" i="35"/>
  <c r="C50" i="35" s="1"/>
  <c r="C30" i="35"/>
  <c r="C28" i="35"/>
  <c r="C37" i="35" s="1"/>
  <c r="C25" i="35"/>
  <c r="C54" i="35" s="1"/>
  <c r="D106" i="91" l="1"/>
  <c r="C55" i="35"/>
  <c r="D99" i="35" s="1"/>
  <c r="C46" i="35"/>
  <c r="R18" i="64"/>
  <c r="D95" i="35"/>
  <c r="C51" i="35"/>
  <c r="D98" i="35" s="1"/>
  <c r="D12" i="35"/>
  <c r="D13" i="35" s="1"/>
  <c r="C103" i="35" s="1"/>
  <c r="C43" i="35"/>
  <c r="D96" i="35" s="1"/>
  <c r="C105" i="35"/>
  <c r="D94" i="35"/>
  <c r="D40" i="35" l="1"/>
  <c r="D19" i="35"/>
  <c r="D36" i="35"/>
  <c r="D18" i="35"/>
  <c r="D54" i="35"/>
  <c r="D55" i="35" s="1"/>
  <c r="D35" i="35"/>
  <c r="D17" i="35"/>
  <c r="D33" i="35"/>
  <c r="D23" i="35"/>
  <c r="D42" i="35"/>
  <c r="D32" i="35"/>
  <c r="D22" i="35"/>
  <c r="D41" i="35"/>
  <c r="D31" i="35"/>
  <c r="D21" i="35"/>
  <c r="D30" i="35"/>
  <c r="D20" i="35"/>
  <c r="D29" i="35"/>
  <c r="D50" i="35"/>
  <c r="D51" i="35" s="1"/>
  <c r="D28" i="35"/>
  <c r="D46" i="35"/>
  <c r="D47" i="35" s="1"/>
  <c r="D34" i="35"/>
  <c r="D24" i="35"/>
  <c r="C47" i="35"/>
  <c r="D97" i="35" s="1"/>
  <c r="D100" i="35" s="1"/>
  <c r="D25" i="35" l="1"/>
  <c r="D37" i="35"/>
  <c r="D43" i="35"/>
  <c r="C56" i="35"/>
  <c r="D56" i="35" l="1"/>
  <c r="D58" i="35" l="1"/>
  <c r="D72" i="35" s="1"/>
  <c r="C104" i="35"/>
  <c r="F4" i="72"/>
  <c r="D77" i="35" l="1"/>
  <c r="D76" i="35"/>
  <c r="D78" i="35" s="1"/>
  <c r="D80" i="35" s="1"/>
  <c r="D82" i="35" s="1"/>
  <c r="E5" i="72"/>
  <c r="E10" i="72"/>
  <c r="D85" i="35" l="1"/>
  <c r="D87" i="35"/>
  <c r="D86" i="35"/>
  <c r="F5" i="72"/>
  <c r="F9" i="72"/>
  <c r="F10" i="72" s="1"/>
  <c r="D88" i="35" l="1"/>
  <c r="F12" i="72"/>
  <c r="F13" i="72" s="1"/>
  <c r="F8" i="71" s="1"/>
  <c r="F9" i="71" s="1"/>
  <c r="C106" i="35" l="1"/>
  <c r="D90" i="35"/>
  <c r="G8" i="71"/>
  <c r="G9" i="71" s="1"/>
  <c r="D91" i="35" l="1"/>
  <c r="E4" i="71"/>
  <c r="C107" i="35"/>
  <c r="D106" i="35" s="1"/>
  <c r="H8" i="71"/>
  <c r="H9" i="71" s="1"/>
  <c r="E5" i="71" l="1"/>
  <c r="F4" i="71"/>
  <c r="D105" i="35"/>
  <c r="D104" i="35"/>
  <c r="D103" i="35"/>
  <c r="F5" i="71" l="1"/>
  <c r="F12" i="71" s="1"/>
  <c r="G4" i="71"/>
  <c r="D107" i="35"/>
  <c r="G5" i="71" l="1"/>
  <c r="H4" i="71"/>
  <c r="H5" i="71" s="1"/>
  <c r="F14" i="71"/>
  <c r="F13" i="7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Abraao Azevedo</author>
  </authors>
  <commentList>
    <comment ref="C2" authorId="0" shapeId="0" xr:uid="{06A4BB43-EB9A-434E-B4A9-E44A6FD35697}">
      <text>
        <r>
          <rPr>
            <b/>
            <sz val="9"/>
            <color indexed="81"/>
            <rFont val="Segoe UI"/>
            <family val="2"/>
          </rPr>
          <t>Campos para preenchimento na cor "CINZA".</t>
        </r>
      </text>
    </comment>
    <comment ref="H4" authorId="0" shapeId="0" xr:uid="{9A3561BC-B7D7-4F2C-B6EC-1583EF0073E9}">
      <text>
        <r>
          <rPr>
            <b/>
            <sz val="9"/>
            <color indexed="81"/>
            <rFont val="Segoe UI"/>
            <family val="2"/>
          </rPr>
          <t>Campo de apenas "um" clique.</t>
        </r>
        <r>
          <rPr>
            <sz val="9"/>
            <color indexed="81"/>
            <rFont val="Segoe UI"/>
            <family val="2"/>
          </rPr>
          <t xml:space="preserve">
</t>
        </r>
      </text>
    </comment>
    <comment ref="I17" authorId="0" shapeId="0" xr:uid="{601E6A21-B1FC-486B-BAF9-9382C261103C}">
      <text>
        <r>
          <rPr>
            <b/>
            <sz val="9"/>
            <color indexed="81"/>
            <rFont val="Segoe UI"/>
            <family val="2"/>
          </rPr>
          <t>Está planilha possui formulas que ajudam no calculo automático de outras células.
Observação importante!!
Não serão aceitos valores (unitário, subtotal, total, geral e global) superiores aos definidos no Termo de Referencia.</t>
        </r>
      </text>
    </comment>
    <comment ref="C34" authorId="0" shapeId="0" xr:uid="{B68A3D1B-F410-4B58-AF6E-DAF46D46B6BB}">
      <text>
        <r>
          <rPr>
            <b/>
            <sz val="9"/>
            <color indexed="81"/>
            <rFont val="Segoe UI"/>
            <family val="2"/>
          </rPr>
          <t>Campos para preenchimento na cor "CINZA".
Por desejo do licitante, pode ser substituido por assinatura digital através de certificado digital no padrão ICP-Brasil, de modo que seja possível consultar a assinatura, conforme Medida Provisória nº 2.200-2, de 24 de agosto de 2001.</t>
        </r>
      </text>
    </comment>
  </commentList>
</comments>
</file>

<file path=xl/sharedStrings.xml><?xml version="1.0" encoding="utf-8"?>
<sst xmlns="http://schemas.openxmlformats.org/spreadsheetml/2006/main" count="661" uniqueCount="258">
  <si>
    <t>PLANILHA ORÇAMENTÁRIA DE REFERÊNCIA DE FORMAÇÃO DE CUSTO DE MÃO DE OBRA</t>
  </si>
  <si>
    <t>Unidade de medida:</t>
  </si>
  <si>
    <t>Tipo de serviço:</t>
  </si>
  <si>
    <t>Quantidade total a contratar (em função da unidade de medida):</t>
  </si>
  <si>
    <t>MÃO DE OBRA VINCULADA À EXECUÇÃO CONTRATUAL</t>
  </si>
  <si>
    <t>Composição da Remuneração</t>
  </si>
  <si>
    <t>%</t>
  </si>
  <si>
    <t>Valor (R$)</t>
  </si>
  <si>
    <t>Salário Base</t>
  </si>
  <si>
    <t>Lucro</t>
  </si>
  <si>
    <t>GRUPO A - ENCARGOS</t>
  </si>
  <si>
    <t>A.01 SEGURIDADE SOCIAL</t>
  </si>
  <si>
    <t>A.02 FGTS</t>
  </si>
  <si>
    <t>A.03 SESI/SESC</t>
  </si>
  <si>
    <t>A.04 SENAI/SENAC</t>
  </si>
  <si>
    <t>A.05 INCRA</t>
  </si>
  <si>
    <t>A.06 SEBRAE</t>
  </si>
  <si>
    <t>A.07 Salário Educação</t>
  </si>
  <si>
    <t>A.08 Riscos Ambientais do Trabalho – RAT x FAP</t>
  </si>
  <si>
    <t>TOTAL - GRUPO A - ENCARGOS</t>
  </si>
  <si>
    <t>TOTAL DA REMUNERAÇÃO (R$)</t>
  </si>
  <si>
    <t>GRUPO B</t>
  </si>
  <si>
    <t>B.01 13º Salário</t>
  </si>
  <si>
    <t>B.03 Aviso Prévio Trabalhado</t>
  </si>
  <si>
    <t>B.04 Auxílio Doença</t>
  </si>
  <si>
    <t>B.05 Acidente de Trabalho</t>
  </si>
  <si>
    <t>B.06 Faltas Legais</t>
  </si>
  <si>
    <t>B.07 Férias sobre Licença Maternidade</t>
  </si>
  <si>
    <t>B.08 Licença Paternidade</t>
  </si>
  <si>
    <t>TOTAL - GRUPO B</t>
  </si>
  <si>
    <t>GRUPO C</t>
  </si>
  <si>
    <t>C.01 Aviso Prévio Indenizado</t>
  </si>
  <si>
    <t>C.02 Indenização Adicional</t>
  </si>
  <si>
    <t>C.03 Indenização (rescisão sem justa causa – multa de 40% do FGTS)</t>
  </si>
  <si>
    <t>TOTAL - GRUPO C</t>
  </si>
  <si>
    <t>GRUPO D</t>
  </si>
  <si>
    <t>D.01 Incidência dos encargos do grupo A sobre o grupo B</t>
  </si>
  <si>
    <t>TOTAL - GRUPO D</t>
  </si>
  <si>
    <t>GRUPO E</t>
  </si>
  <si>
    <t>E.01 Incidência do FGTS sobre o aviso prévio indenizado</t>
  </si>
  <si>
    <t>TOTAL - GRUPO E</t>
  </si>
  <si>
    <t>GRUPO F</t>
  </si>
  <si>
    <t>F.01 Incidência dos encargos do Grupo A sobre os valores constantes da base de cálculo referente ao salário maternidade</t>
  </si>
  <si>
    <t>TOTAL - GRUPO F</t>
  </si>
  <si>
    <t>TOTAL - ENCARGOS SOCIAIS (R$)</t>
  </si>
  <si>
    <t>VALOR TOTAL DE REMUNERAÇÃO + ENCARGOS SOCIAIS (R$)</t>
  </si>
  <si>
    <t>Insumos</t>
  </si>
  <si>
    <t>Uniforme</t>
  </si>
  <si>
    <t>TOTAL - INSUMOS (R$)</t>
  </si>
  <si>
    <t>TOTAL DE REMUNERAÇÃO + ENCARGOS SOCIAIS + INSUMOS (R$)</t>
  </si>
  <si>
    <t>LUCRO E DESPESAS INDIRETAS (LDI)</t>
  </si>
  <si>
    <t>Despesas Administrativas/Operacionais</t>
  </si>
  <si>
    <t>TOTAL - LUCRO E DESPESAS INDIRETAS</t>
  </si>
  <si>
    <t>TRIBUTAÇÃO SOBRE FATURAMENTO</t>
  </si>
  <si>
    <t>ISS</t>
  </si>
  <si>
    <t>COFINS</t>
  </si>
  <si>
    <t>PIS</t>
  </si>
  <si>
    <t>TOTAL - TRIBUTAÇÃO SOBRE FATURAMENTO</t>
  </si>
  <si>
    <t>PREÇO MENSAL PARA 1 (UM) EMPREGADO (R$)</t>
  </si>
  <si>
    <t>Item</t>
  </si>
  <si>
    <t>-</t>
  </si>
  <si>
    <t>CBO:</t>
  </si>
  <si>
    <t>Convenção Coletiva de Trabalho/Acordo/ Dissídio Coletivo de Trabalho:</t>
  </si>
  <si>
    <t>BASE DE CÁLCULO PARA TRIBUTO</t>
  </si>
  <si>
    <t>PREÇO ANUAL PARA 1 (UM) POSTO (R$) - PREÇO MENSAL X 12 MESES</t>
  </si>
  <si>
    <t>Subitem</t>
  </si>
  <si>
    <t>Outros</t>
  </si>
  <si>
    <t>Vlr. Unitário por Empregado R$
(b)</t>
  </si>
  <si>
    <t>1.0</t>
  </si>
  <si>
    <t>SEÇÃO I - COMPOSIÇÃO DA REMUNERAÇÃO (R$)</t>
  </si>
  <si>
    <t>SEÇÃO II - ENCARGOS SOCIAIS INCIDENTES SOBRE A REMUNERAÇÃO (R$)</t>
  </si>
  <si>
    <t>SEÇÃO III - INSUMOS</t>
  </si>
  <si>
    <t>TOTAL DE REMUNERAÇÃO + ENCARGOS SOCIAIS + INSUMOS + INTRAJORNADA + LDI (R$)</t>
  </si>
  <si>
    <t>TOTAL - GRUPO A   - ENCARGOS</t>
  </si>
  <si>
    <t>TOTAL ENCARGOS SOCIAIS</t>
  </si>
  <si>
    <t>Custo por Demanda</t>
  </si>
  <si>
    <t>Horas Extras</t>
  </si>
  <si>
    <t>Cesta Básica</t>
  </si>
  <si>
    <t>Plano Odontológico</t>
  </si>
  <si>
    <t>Qtde. de Profissionais - a</t>
  </si>
  <si>
    <t>Qtde. de Horas-Extras - b</t>
  </si>
  <si>
    <t>Valor da Hora Extra (R$) - c</t>
  </si>
  <si>
    <t>Custo (R$) - d = a x b x c</t>
  </si>
  <si>
    <t>PREÇO HOMEM HORA DE 1 (UM) EMPREGADO (R$)</t>
  </si>
  <si>
    <t>HOMEM-HORA A 50% (R$)</t>
  </si>
  <si>
    <t>HOMEM-HORA A 100% (R$)</t>
  </si>
  <si>
    <t>SEÇÃO IV - LDI E TRIBUTAÇÃO</t>
  </si>
  <si>
    <t>CARGO</t>
  </si>
  <si>
    <t>Auxilio Alimentação</t>
  </si>
  <si>
    <t>Desconto do Auxilio Alimentação</t>
  </si>
  <si>
    <t>Vale Transporte</t>
  </si>
  <si>
    <t>Desconto do Vale Transporte</t>
  </si>
  <si>
    <t>QUANTIDADE ANUAL</t>
  </si>
  <si>
    <t>Setor de Divida Ativa</t>
  </si>
  <si>
    <t>Total</t>
  </si>
  <si>
    <t>QUANTIDADE DE EMPREGADOS</t>
  </si>
  <si>
    <t>Setor de Negociação</t>
  </si>
  <si>
    <t>LEGISLAÇÃO</t>
  </si>
  <si>
    <t>Unidade de Medida</t>
  </si>
  <si>
    <t>Und.</t>
  </si>
  <si>
    <t>TOTAL ANUAL (Total Mensal X 12 Meses) R$ →</t>
  </si>
  <si>
    <t>DIARIAS ESTIMADAS</t>
  </si>
  <si>
    <t>Total por Cargo</t>
  </si>
  <si>
    <t>Total por Setor/Departamento</t>
  </si>
  <si>
    <r>
      <rPr>
        <b/>
        <sz val="10"/>
        <color theme="1"/>
        <rFont val="Arial"/>
        <family val="2"/>
      </rPr>
      <t>DECRETO-LEI Nº 5.452, DE 1º DE MAIO DE 1943</t>
    </r>
    <r>
      <rPr>
        <sz val="10"/>
        <color theme="1"/>
        <rFont val="Arial"/>
        <family val="2"/>
      </rPr>
      <t xml:space="preserve">
Art. 59.  A duração diária do trabalho poderá ser acrescida de horas extras, em número não excedente de duas, por acordo individual, convenção coletiva ou acordo coletivo de trabalho.</t>
    </r>
  </si>
  <si>
    <t>Controladoria Geral - CONTROL</t>
  </si>
  <si>
    <t>Departamento de Administração e Gestão de Pessoal - DAGEPE</t>
  </si>
  <si>
    <t>Departamento Contábil - DECON</t>
  </si>
  <si>
    <t>Departamento Financeiro - DEFIN</t>
  </si>
  <si>
    <t>Departamento de Fiscalização - DEFIS</t>
  </si>
  <si>
    <t>Departamento de Registro e Cadastro - DRC</t>
  </si>
  <si>
    <t>Procuradoria Geral - PROGER</t>
  </si>
  <si>
    <t>Secretaria Executiva - SECEX</t>
  </si>
  <si>
    <t>Setor de Comunicação - SECOM</t>
  </si>
  <si>
    <t>Setor de Licitações e Contratos - SELIC</t>
  </si>
  <si>
    <t>Setor de Tecnologia de Informação - STI</t>
  </si>
  <si>
    <t>SECEX</t>
  </si>
  <si>
    <t>SECOM</t>
  </si>
  <si>
    <t>Cargo</t>
  </si>
  <si>
    <t>Posto</t>
  </si>
  <si>
    <t>PASSAGENS ESTIMADAS</t>
  </si>
  <si>
    <t>HORA-EXTRA ESTIMADA POR ANO</t>
  </si>
  <si>
    <t>QUADRO GERAL DE CUSTO</t>
  </si>
  <si>
    <t>1.1.</t>
  </si>
  <si>
    <t>Vlr. Mensal R$ (c = a x b)</t>
  </si>
  <si>
    <t>Vlr. Anual R$ (d = c x 12 meses)</t>
  </si>
  <si>
    <t>Vlr. Bienal R$ (e = d x 2 anos)</t>
  </si>
  <si>
    <t>GRUPO A - ESTIMATIVA DE HORAS EXTRAORDINARIAS ANUAL - SABADO E DIAS ÚTEIS</t>
  </si>
  <si>
    <t>SUBTOTAL - GRUPO A (R$)</t>
  </si>
  <si>
    <t>GRUPO B - ESTIMATIVA DE HORAS EXTRAORDINARIAS ANUAL - DOMINGOS E FERIADOS</t>
  </si>
  <si>
    <t>Qtde. de Profissionais - e</t>
  </si>
  <si>
    <t>Qtde. de Horas-Extras - f</t>
  </si>
  <si>
    <t>Valor da Hora Extra (R$) - g</t>
  </si>
  <si>
    <t>Custo (R$) - h = e x f x g</t>
  </si>
  <si>
    <t>SUBTOTAL - GRUPO B (R$)</t>
  </si>
  <si>
    <t xml:space="preserve">TOTAL GERAL ANUAL DE HORAS EXTRAS (Subtotal Grupo A+B)  R$ → </t>
  </si>
  <si>
    <r>
      <t xml:space="preserve">TOTAL GERAL MENSAL DE HORAS EXTRAS (Total Geral Anual </t>
    </r>
    <r>
      <rPr>
        <b/>
        <sz val="10"/>
        <color theme="1"/>
        <rFont val="Calibri"/>
        <family val="2"/>
      </rPr>
      <t>÷</t>
    </r>
    <r>
      <rPr>
        <b/>
        <sz val="10"/>
        <color theme="1"/>
        <rFont val="Arial"/>
        <family val="2"/>
      </rPr>
      <t xml:space="preserve"> 12 meses)  R$ → </t>
    </r>
  </si>
  <si>
    <t>PREVISÃO DE CUSTO HORAS-EXTRAS</t>
  </si>
  <si>
    <t>TOTAL BIANUAL (Total Mensal X 24 Meses) R$ →</t>
  </si>
  <si>
    <t>Analista de Departamento Pessoal</t>
  </si>
  <si>
    <t>Arquivista</t>
  </si>
  <si>
    <t>Assistente Administrativo I</t>
  </si>
  <si>
    <t>Assistente Administrativo II</t>
  </si>
  <si>
    <t>Assistente Contábil II</t>
  </si>
  <si>
    <t>Assistente de Comunicação</t>
  </si>
  <si>
    <t>Assistente Financeiro I</t>
  </si>
  <si>
    <t>Copeiro II</t>
  </si>
  <si>
    <t>Designer Gráfico</t>
  </si>
  <si>
    <t>Motorista</t>
  </si>
  <si>
    <t>Oficial de Manutenção</t>
  </si>
  <si>
    <t>Técnico de Suporte I</t>
  </si>
  <si>
    <t>Técnico de Suporte II</t>
  </si>
  <si>
    <t>Corregedoria de Processos Éticos</t>
  </si>
  <si>
    <t>Setor de Arquivo e Protocolo</t>
  </si>
  <si>
    <t>Setor de Ouvidoria</t>
  </si>
  <si>
    <t>Analista Jurídico</t>
  </si>
  <si>
    <t>Total por Escolaridade</t>
  </si>
  <si>
    <t>QUANTIDADE DE CARGOS POR ESCOLARIDADE</t>
  </si>
  <si>
    <t>Nível Fundamental</t>
  </si>
  <si>
    <t>Nível Médio</t>
  </si>
  <si>
    <t>Nível Superior</t>
  </si>
  <si>
    <t>Referencia</t>
  </si>
  <si>
    <t>Custo Total (R$)
(c = a x b)</t>
  </si>
  <si>
    <t>Valor Médio Unitário (R$)
(b)</t>
  </si>
  <si>
    <t>Qtde. Anual
(a)</t>
  </si>
  <si>
    <t>Descrição</t>
  </si>
  <si>
    <t>Masculino</t>
  </si>
  <si>
    <t>Uni.</t>
  </si>
  <si>
    <t>Quant. Total (a)</t>
  </si>
  <si>
    <t>Custo Mensal Manut. Depre. dos Equipamentos (R$) (Custo Mensal Manutenção + Depreciação) →</t>
  </si>
  <si>
    <t>Custo Mensal com a Depreciação dos Equipamentos: [Valor total dos equipamentos x (1,00-0,20)]/(12x8) →</t>
  </si>
  <si>
    <t>Custo Mensal com a Manutenção dos Equipamentos: (k x 83 x V0/VU) →</t>
  </si>
  <si>
    <t>Custo Global (R$) (∑ do Custo Total) →</t>
  </si>
  <si>
    <t>Nº de Posto (a)</t>
  </si>
  <si>
    <t>B.02 Férias (incluindo 1/3 constitucional)</t>
  </si>
  <si>
    <t>B.09 Férias adquiridas (não usufruídas)</t>
  </si>
  <si>
    <t>Manutenção de Equipamento</t>
  </si>
  <si>
    <t>MANUTENÇÃO DE EQUIPAMENTO</t>
  </si>
  <si>
    <t>Componentes</t>
  </si>
  <si>
    <t>R$</t>
  </si>
  <si>
    <t>I - COMPOSIÇÃO DE REMUNERAÇÃO</t>
  </si>
  <si>
    <t>II - ENCARGOS SOCIAIS INCIDENTES SOBRE A REMUNERAÇÃO</t>
  </si>
  <si>
    <t>III - INSUMOS</t>
  </si>
  <si>
    <t>IV - LDI E TRIBUTAÇÃO</t>
  </si>
  <si>
    <t>TOTAL</t>
  </si>
  <si>
    <t>2.0</t>
  </si>
  <si>
    <t>2.1.</t>
  </si>
  <si>
    <t>PLANILHA ORÇAMENTÁRIA DE REFERÊNCIA DE FORMAÇÃO DE CUSTO DE SERVIÇO EXTRAODINÁRIO</t>
  </si>
  <si>
    <t>VALORES - SERVIÇO EXTRA</t>
  </si>
  <si>
    <t>Mão de Obra</t>
  </si>
  <si>
    <t>TOTAIS DO CONTRATO - MÃO DE OBRA + CUSTO POR DEMANDA</t>
  </si>
  <si>
    <t xml:space="preserve">TOTAL MENSAL (Item 1 + Item 2) R$ → </t>
  </si>
  <si>
    <t>Vlr. Mensal R$ (f)</t>
  </si>
  <si>
    <t>Vlr. Anual R$ (g = f x 12 meses)</t>
  </si>
  <si>
    <t>Vlr. Bienal R$ (h = g x 2 anos)</t>
  </si>
  <si>
    <t>Subtotal Item 2.0 R$ →</t>
  </si>
  <si>
    <r>
      <t>Subtotal Item 1.0 (</t>
    </r>
    <r>
      <rPr>
        <b/>
        <sz val="10"/>
        <color theme="1"/>
        <rFont val="Calibri"/>
        <family val="2"/>
      </rPr>
      <t>∑</t>
    </r>
    <r>
      <rPr>
        <b/>
        <sz val="10"/>
        <color theme="1"/>
        <rFont val="Arial"/>
        <family val="2"/>
      </rPr>
      <t xml:space="preserve"> dos subitens do item 1) R$ →</t>
    </r>
  </si>
  <si>
    <t>Quantidade de Posto</t>
  </si>
  <si>
    <t>QUANTIDADE DE POSTO POR DEPARTAMENTO/SETOR</t>
  </si>
  <si>
    <t>Quantidade de Hora Extra Anual de 50% Por Posto</t>
  </si>
  <si>
    <t>Quantidade de Hora Extra Anual de 100% Por Posto</t>
  </si>
  <si>
    <t>Departamento/Setor</t>
  </si>
  <si>
    <t>Quantidade Total de Hora Extra Anual Por Posto</t>
  </si>
  <si>
    <t>Quantidade Total de Hora Extra Anual Por Cargo</t>
  </si>
  <si>
    <t>Agente de Portaria</t>
  </si>
  <si>
    <t>5174-10</t>
  </si>
  <si>
    <t>Posto de 44hrs Semanais</t>
  </si>
  <si>
    <t>Convenção Coletiva de Trabalho (CCT) - Nº Registro no MTE: AM000042/2021;
Termo Aditivo a Convenção Coletiva de Trabalho (TACCT) - Nº Registro no MTE: AM000067/2022 e AM000399/2022.</t>
  </si>
  <si>
    <t>Livro de ocorrêcias</t>
  </si>
  <si>
    <t>Lanterna recarregável</t>
  </si>
  <si>
    <t>Radio Intercomunicador Completo (com bateria e carregador)</t>
  </si>
  <si>
    <t>Apito</t>
  </si>
  <si>
    <t>Camisa Gola Polo</t>
  </si>
  <si>
    <t>Calça Jeans Masculina</t>
  </si>
  <si>
    <t>Custo Global Uniforme Masculino (R$) (∑ do Custo Total) →</t>
  </si>
  <si>
    <t>Feminino</t>
  </si>
  <si>
    <t>Calça Jeans Feminina</t>
  </si>
  <si>
    <t>Custo Global Uniforme Feminino (R$) (∑ do Custo Total) →</t>
  </si>
  <si>
    <r>
      <t xml:space="preserve">Custo Global Médio do Uniforme (R$) [(Uniforme Masc. + Uniforme Fem.) </t>
    </r>
    <r>
      <rPr>
        <b/>
        <sz val="10"/>
        <color theme="1"/>
        <rFont val="Calibri"/>
        <family val="2"/>
      </rPr>
      <t>÷</t>
    </r>
    <r>
      <rPr>
        <b/>
        <sz val="10"/>
        <color theme="1"/>
        <rFont val="Arial"/>
        <family val="2"/>
      </rPr>
      <t xml:space="preserve"> 2]</t>
    </r>
  </si>
  <si>
    <t>Custo Mensal Uniforme (R$) (Custo Global ÷ 12 meses) →</t>
  </si>
  <si>
    <t>UNIFORME</t>
  </si>
  <si>
    <t>Responsavel Legal</t>
  </si>
  <si>
    <t>(Nome de Responsavel Legal)</t>
  </si>
  <si>
    <t>ASSINATURA:</t>
  </si>
  <si>
    <t>(Local)/(UF)</t>
  </si>
  <si>
    <t>(___________________________________________)</t>
  </si>
  <si>
    <t>VALOR GLOBAL DA PROPOSTA:</t>
  </si>
  <si>
    <t>• Declaramos conhecer e nos submetemos integralmente a todas as cláusulas e condições do presente Edital e seus anexos.</t>
  </si>
  <si>
    <t>• Declaramos que os serviços aqui ofertados estão de acordo com as especificações do Termo de Referência da presente licitação.</t>
  </si>
  <si>
    <t>• Nos preços apresentados deverão incluir todos os custos com salários, horas extras, encargos sociais, transportes, uniformes, lucros, encargos fiscais e para-fiscais, despesas diretas e indiretas, bem como aquelas indispensáveis para execução do objeto.</t>
  </si>
  <si>
    <t>• Validade da Proposta: ___ (_______) dias, observado o prazo mínimo de 60 (sessenta) dias.</t>
  </si>
  <si>
    <t xml:space="preserve">Vlr. Global (R$) </t>
  </si>
  <si>
    <t>Mão de obra</t>
  </si>
  <si>
    <t>Valor Anual (R$)</t>
  </si>
  <si>
    <t>Valor Mensal (R$)</t>
  </si>
  <si>
    <t>Item Único</t>
  </si>
  <si>
    <r>
      <rPr>
        <b/>
        <sz val="10"/>
        <color theme="1"/>
        <rFont val="Arial"/>
        <family val="2"/>
      </rPr>
      <t>2.1.</t>
    </r>
    <r>
      <rPr>
        <sz val="10"/>
        <color theme="1"/>
        <rFont val="Arial"/>
        <family val="2"/>
      </rPr>
      <t xml:space="preserve"> Apresentar planilha descritiva com marca, valores unitários, total, junto com total geral do grupo, conforme descrito no Termo de Referência - Anexo I do Edital. </t>
    </r>
  </si>
  <si>
    <t>2. PLANILHA DE PREÇOS</t>
  </si>
  <si>
    <t>1. OBJETO</t>
  </si>
  <si>
    <t>Tipo de Conta:</t>
  </si>
  <si>
    <t>Conta Bancária:</t>
  </si>
  <si>
    <t>Nº da agência bancária:</t>
  </si>
  <si>
    <t>Nome do Favorecido:</t>
  </si>
  <si>
    <t>Banco:</t>
  </si>
  <si>
    <t>Fax:</t>
  </si>
  <si>
    <t>Telefone:</t>
  </si>
  <si>
    <t>E-mail:</t>
  </si>
  <si>
    <t>CEP:</t>
  </si>
  <si>
    <t>Cidade:</t>
  </si>
  <si>
    <t>Bairro:</t>
  </si>
  <si>
    <t>Endereço:</t>
  </si>
  <si>
    <t>Optante pelo Simples:</t>
  </si>
  <si>
    <t>CNPJ:</t>
  </si>
  <si>
    <t>Razão Social:</t>
  </si>
  <si>
    <t>Nome de Fantasia:</t>
  </si>
  <si>
    <t>Pregão Eletrônico - COREN/AM nº XXX/20XX</t>
  </si>
  <si>
    <t>Licitação:</t>
  </si>
  <si>
    <r>
      <rPr>
        <b/>
        <sz val="10"/>
        <color theme="1"/>
        <rFont val="Arial"/>
        <family val="2"/>
      </rPr>
      <t>1.1.</t>
    </r>
    <r>
      <rPr>
        <sz val="10"/>
        <color theme="1"/>
        <rFont val="Arial"/>
        <family val="2"/>
      </rPr>
      <t xml:space="preserve"> Contratação de pessoa jurídica especializada para prestação, de forma contínua, de serviços terceirizados de portaria, com dedicação exclusiva de mão de obra, na sede do Conselho Regional de Enfermagem do Amazonas, localizados na cidade de Manaus, estado do Amazonas, conforme condições, quantidades e exigências estabelecidas no Pregão Eletrônico nº __/20__.</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</si>
</sst>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164" formatCode="0.000"/>
    <numFmt numFmtId="165" formatCode="0.000%"/>
    <numFmt numFmtId="166" formatCode="[$-F800]dddd\,\ mmmm\ dd\,\ yyyy"/>
    <numFmt numFmtId="167" formatCode="&quot;R$&quot;\ #,##0.00"/>
  </numFmts>
  <fonts count="16" x14ac:knownFonts="1">
    <font>
      <sz val="11"/>
      <color theme="1"/>
      <name val="Calibri"/>
      <family val="2"/>
      <scheme val="minor"/>
    </font>
    <font>
      <sz val="10"/>
      <name val="Arial"/>
      <family val="2"/>
    </font>
    <font>
      <sz val="10"/>
      <color theme="1"/>
      <name val="Calibri"/>
      <family val="2"/>
      <scheme val="minor"/>
    </font>
    <font>
      <sz val="10"/>
      <color theme="1"/>
      <name val="Arial"/>
      <family val="2"/>
    </font>
    <font>
      <b/>
      <sz val="10"/>
      <color theme="1"/>
      <name val="Arial"/>
      <family val="2"/>
    </font>
    <font>
      <sz val="10"/>
      <color rgb="FFFF0000"/>
      <name val="Arial"/>
      <family val="2"/>
    </font>
    <font>
      <sz val="11"/>
      <color theme="1"/>
      <name val="Calibri"/>
      <family val="2"/>
      <scheme val="minor"/>
    </font>
    <font>
      <sz val="10"/>
      <color indexed="8"/>
      <name val="Arial"/>
      <family val="2"/>
    </font>
    <font>
      <b/>
      <sz val="10"/>
      <color theme="0"/>
      <name val="Arial"/>
      <family val="2"/>
    </font>
    <font>
      <sz val="10"/>
      <color theme="0"/>
      <name val="Arial"/>
      <family val="2"/>
    </font>
    <font>
      <b/>
      <sz val="10"/>
      <name val="Arial"/>
      <family val="2"/>
    </font>
    <font>
      <b/>
      <sz val="10"/>
      <color theme="1"/>
      <name val="Calibri"/>
      <family val="2"/>
    </font>
    <font>
      <b/>
      <sz val="11"/>
      <color theme="0"/>
      <name val="Calibri"/>
      <family val="2"/>
      <scheme val="minor"/>
    </font>
    <font>
      <b/>
      <sz val="9"/>
      <color indexed="81"/>
      <name val="Segoe UI"/>
      <family val="2"/>
    </font>
    <font>
      <sz val="9"/>
      <color indexed="81"/>
      <name val="Segoe UI"/>
      <family val="2"/>
    </font>
    <font>
      <sz val="8"/>
      <color rgb="FF000000"/>
      <name val="Segoe UI"/>
      <family val="2"/>
    </font>
  </fonts>
  <fills count="11">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3" tint="-0.249977111117893"/>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s>
  <cellStyleXfs count="7">
    <xf numFmtId="0" fontId="0" fillId="0" borderId="0"/>
    <xf numFmtId="0" fontId="1" fillId="0" borderId="0"/>
    <xf numFmtId="0" fontId="1" fillId="0" borderId="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0" fontId="1" fillId="0" borderId="0"/>
  </cellStyleXfs>
  <cellXfs count="210">
    <xf numFmtId="0" fontId="0" fillId="0" borderId="0" xfId="0"/>
    <xf numFmtId="0" fontId="2" fillId="0" borderId="0" xfId="0" applyFont="1"/>
    <xf numFmtId="0" fontId="3" fillId="0" borderId="0" xfId="0" applyFont="1" applyAlignment="1">
      <alignment vertical="center" wrapText="1"/>
    </xf>
    <xf numFmtId="4" fontId="3" fillId="2" borderId="1" xfId="0" applyNumberFormat="1" applyFont="1" applyFill="1" applyBorder="1" applyAlignment="1">
      <alignment horizontal="center" vertical="center" wrapText="1"/>
    </xf>
    <xf numFmtId="2" fontId="3" fillId="0" borderId="1" xfId="0" applyNumberFormat="1" applyFont="1" applyBorder="1" applyAlignment="1">
      <alignment horizontal="center" vertical="center" wrapText="1"/>
    </xf>
    <xf numFmtId="2" fontId="4" fillId="0" borderId="0" xfId="0" applyNumberFormat="1" applyFont="1" applyAlignment="1">
      <alignment horizontal="center" vertical="center" wrapText="1"/>
    </xf>
    <xf numFmtId="4" fontId="4"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165" fontId="1" fillId="2" borderId="1" xfId="4" quotePrefix="1" applyNumberFormat="1" applyFont="1" applyFill="1" applyBorder="1" applyAlignment="1" applyProtection="1">
      <alignment horizontal="center" vertical="center"/>
    </xf>
    <xf numFmtId="165" fontId="1" fillId="0" borderId="1" xfId="4" quotePrefix="1" applyNumberFormat="1" applyFont="1" applyFill="1" applyBorder="1" applyAlignment="1" applyProtection="1">
      <alignment horizontal="center" vertical="center"/>
    </xf>
    <xf numFmtId="165" fontId="1" fillId="2" borderId="1" xfId="5" applyNumberFormat="1" applyFont="1" applyFill="1" applyBorder="1" applyAlignment="1" applyProtection="1">
      <alignment horizontal="center" vertical="center"/>
    </xf>
    <xf numFmtId="165" fontId="1" fillId="2" borderId="1" xfId="5" quotePrefix="1" applyNumberFormat="1" applyFont="1" applyFill="1" applyBorder="1" applyAlignment="1" applyProtection="1">
      <alignment horizontal="center" vertical="center"/>
    </xf>
    <xf numFmtId="10" fontId="3" fillId="0" borderId="1" xfId="3" applyNumberFormat="1" applyFont="1" applyBorder="1" applyAlignment="1">
      <alignment horizontal="center" vertical="center" wrapText="1"/>
    </xf>
    <xf numFmtId="165" fontId="3" fillId="0" borderId="1" xfId="3" applyNumberFormat="1" applyFont="1" applyBorder="1" applyAlignment="1">
      <alignment horizontal="center" vertical="center" wrapText="1"/>
    </xf>
    <xf numFmtId="165" fontId="7" fillId="2" borderId="1" xfId="5" quotePrefix="1" applyNumberFormat="1" applyFont="1" applyFill="1" applyBorder="1" applyAlignment="1" applyProtection="1">
      <alignment horizontal="center" vertical="center"/>
    </xf>
    <xf numFmtId="0" fontId="3" fillId="0" borderId="0" xfId="0" applyFont="1" applyAlignment="1">
      <alignment horizontal="center" vertical="center" wrapText="1"/>
    </xf>
    <xf numFmtId="165" fontId="3" fillId="0" borderId="1" xfId="3" applyNumberFormat="1" applyFont="1" applyBorder="1" applyAlignment="1">
      <alignment horizontal="right" vertical="center" wrapText="1"/>
    </xf>
    <xf numFmtId="4" fontId="3"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0" xfId="0" applyFont="1" applyAlignment="1">
      <alignment horizontal="right" vertical="center" wrapText="1"/>
    </xf>
    <xf numFmtId="0" fontId="3" fillId="0" borderId="0" xfId="0" applyFont="1"/>
    <xf numFmtId="0" fontId="3" fillId="0" borderId="1" xfId="0" applyFont="1" applyBorder="1" applyAlignment="1">
      <alignment horizontal="center" vertical="center" wrapText="1"/>
    </xf>
    <xf numFmtId="0" fontId="8" fillId="4" borderId="9" xfId="0" applyFont="1" applyFill="1" applyBorder="1" applyAlignment="1">
      <alignment vertical="center" wrapText="1"/>
    </xf>
    <xf numFmtId="0" fontId="8" fillId="4" borderId="1" xfId="0" applyFont="1" applyFill="1" applyBorder="1" applyAlignment="1">
      <alignment vertical="center" wrapText="1"/>
    </xf>
    <xf numFmtId="0" fontId="8" fillId="4" borderId="1" xfId="0" applyFont="1" applyFill="1" applyBorder="1" applyAlignment="1">
      <alignment horizontal="center" vertical="center" wrapText="1"/>
    </xf>
    <xf numFmtId="0" fontId="8" fillId="4" borderId="6" xfId="0"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165" fontId="4" fillId="5" borderId="1" xfId="3" applyNumberFormat="1" applyFont="1" applyFill="1" applyBorder="1" applyAlignment="1">
      <alignment horizontal="center"/>
    </xf>
    <xf numFmtId="4" fontId="4" fillId="5" borderId="1" xfId="0" applyNumberFormat="1" applyFont="1" applyFill="1" applyBorder="1" applyAlignment="1">
      <alignment horizontal="center" vertical="center" wrapText="1"/>
    </xf>
    <xf numFmtId="165" fontId="4" fillId="5" borderId="1" xfId="3" applyNumberFormat="1" applyFont="1" applyFill="1" applyBorder="1" applyAlignment="1">
      <alignment horizontal="center" vertical="center" wrapText="1"/>
    </xf>
    <xf numFmtId="10" fontId="4" fillId="5" borderId="1" xfId="3" applyNumberFormat="1" applyFont="1" applyFill="1" applyBorder="1" applyAlignment="1">
      <alignment horizontal="center" vertical="center" wrapText="1"/>
    </xf>
    <xf numFmtId="0" fontId="9" fillId="6" borderId="1" xfId="0" applyFont="1" applyFill="1" applyBorder="1" applyAlignment="1">
      <alignment horizontal="center" vertical="center"/>
    </xf>
    <xf numFmtId="4" fontId="3" fillId="2" borderId="1" xfId="0" applyNumberFormat="1" applyFont="1" applyFill="1" applyBorder="1" applyAlignment="1">
      <alignment horizontal="center" vertical="center"/>
    </xf>
    <xf numFmtId="4" fontId="5"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10" fillId="5" borderId="1" xfId="0" applyFont="1" applyFill="1" applyBorder="1" applyAlignment="1">
      <alignment horizontal="center" vertical="center"/>
    </xf>
    <xf numFmtId="10" fontId="3" fillId="8" borderId="1" xfId="3" applyNumberFormat="1" applyFont="1" applyFill="1" applyBorder="1" applyAlignment="1">
      <alignment horizontal="center" vertical="center" wrapText="1"/>
    </xf>
    <xf numFmtId="2" fontId="3" fillId="8" borderId="1" xfId="0" applyNumberFormat="1" applyFont="1" applyFill="1" applyBorder="1" applyAlignment="1">
      <alignment horizontal="center" vertical="center" wrapText="1"/>
    </xf>
    <xf numFmtId="165" fontId="3" fillId="8" borderId="1" xfId="3" applyNumberFormat="1" applyFont="1" applyFill="1" applyBorder="1" applyAlignment="1">
      <alignment horizontal="right" vertical="center" wrapText="1"/>
    </xf>
    <xf numFmtId="4" fontId="3" fillId="8" borderId="1" xfId="0" applyNumberFormat="1" applyFont="1" applyFill="1" applyBorder="1" applyAlignment="1">
      <alignment horizontal="center" vertical="center" wrapText="1"/>
    </xf>
    <xf numFmtId="4" fontId="3" fillId="8" borderId="10" xfId="0" applyNumberFormat="1" applyFont="1" applyFill="1" applyBorder="1" applyAlignment="1">
      <alignment horizontal="center" vertical="center"/>
    </xf>
    <xf numFmtId="0" fontId="3" fillId="8" borderId="1" xfId="0" applyFont="1" applyFill="1" applyBorder="1" applyAlignment="1">
      <alignment vertical="center" wrapText="1"/>
    </xf>
    <xf numFmtId="4" fontId="3" fillId="8" borderId="1" xfId="0" applyNumberFormat="1" applyFont="1" applyFill="1" applyBorder="1" applyAlignment="1">
      <alignment horizontal="center" vertical="center"/>
    </xf>
    <xf numFmtId="0" fontId="3" fillId="8" borderId="1" xfId="0" applyFont="1" applyFill="1" applyBorder="1" applyAlignment="1">
      <alignment vertical="center"/>
    </xf>
    <xf numFmtId="4" fontId="5" fillId="8" borderId="1" xfId="0" applyNumberFormat="1" applyFont="1" applyFill="1" applyBorder="1" applyAlignment="1">
      <alignment horizontal="center" vertical="center"/>
    </xf>
    <xf numFmtId="165" fontId="1" fillId="8" borderId="1" xfId="5" quotePrefix="1" applyNumberFormat="1" applyFont="1" applyFill="1" applyBorder="1" applyAlignment="1" applyProtection="1">
      <alignment horizontal="center" vertical="center"/>
    </xf>
    <xf numFmtId="165" fontId="1" fillId="8" borderId="1" xfId="4" quotePrefix="1" applyNumberFormat="1" applyFont="1" applyFill="1" applyBorder="1" applyAlignment="1" applyProtection="1">
      <alignment horizontal="center" vertical="center"/>
    </xf>
    <xf numFmtId="165" fontId="1" fillId="8" borderId="1" xfId="5" applyNumberFormat="1" applyFont="1" applyFill="1" applyBorder="1" applyAlignment="1" applyProtection="1">
      <alignment horizontal="center" vertical="center"/>
    </xf>
    <xf numFmtId="164" fontId="3" fillId="8" borderId="1" xfId="0" applyNumberFormat="1"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0" fontId="4" fillId="5" borderId="1" xfId="0" applyFont="1" applyFill="1" applyBorder="1" applyAlignment="1">
      <alignment horizontal="center"/>
    </xf>
    <xf numFmtId="4" fontId="4" fillId="5" borderId="1" xfId="0" applyNumberFormat="1" applyFont="1" applyFill="1" applyBorder="1" applyAlignment="1">
      <alignment horizontal="center"/>
    </xf>
    <xf numFmtId="0" fontId="4" fillId="5" borderId="1" xfId="0" applyFont="1" applyFill="1" applyBorder="1" applyAlignment="1">
      <alignment horizontal="right"/>
    </xf>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3" fillId="8" borderId="1" xfId="0" applyFont="1" applyFill="1" applyBorder="1" applyAlignment="1">
      <alignment horizontal="center" vertical="center"/>
    </xf>
    <xf numFmtId="0" fontId="9" fillId="7" borderId="1" xfId="0" applyFont="1" applyFill="1" applyBorder="1" applyAlignment="1">
      <alignment horizontal="center" vertical="center" wrapText="1"/>
    </xf>
    <xf numFmtId="0" fontId="9" fillId="7" borderId="1" xfId="0" applyFont="1" applyFill="1" applyBorder="1" applyAlignment="1">
      <alignment horizontal="center" vertical="center"/>
    </xf>
    <xf numFmtId="4" fontId="4" fillId="5"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left" vertical="center" wrapText="1"/>
    </xf>
    <xf numFmtId="0" fontId="4" fillId="0" borderId="0" xfId="0" applyFont="1" applyAlignment="1">
      <alignment horizontal="left"/>
    </xf>
    <xf numFmtId="3" fontId="3" fillId="2" borderId="1" xfId="0" applyNumberFormat="1" applyFont="1" applyFill="1" applyBorder="1" applyAlignment="1">
      <alignment horizontal="center" vertical="center"/>
    </xf>
    <xf numFmtId="0" fontId="3" fillId="2" borderId="11" xfId="0" applyFont="1" applyFill="1" applyBorder="1" applyAlignment="1">
      <alignment horizontal="center" vertical="center"/>
    </xf>
    <xf numFmtId="4" fontId="3" fillId="2" borderId="11" xfId="0" applyNumberFormat="1" applyFont="1" applyFill="1" applyBorder="1" applyAlignment="1">
      <alignment horizontal="center" vertical="center"/>
    </xf>
    <xf numFmtId="0" fontId="4" fillId="5" borderId="11" xfId="0" applyFont="1" applyFill="1" applyBorder="1" applyAlignment="1">
      <alignment horizontal="center"/>
    </xf>
    <xf numFmtId="44" fontId="4" fillId="5" borderId="11" xfId="0" applyNumberFormat="1" applyFont="1" applyFill="1" applyBorder="1" applyAlignment="1">
      <alignment horizontal="center"/>
    </xf>
    <xf numFmtId="0" fontId="3" fillId="8" borderId="1" xfId="0" applyFont="1" applyFill="1" applyBorder="1" applyAlignment="1">
      <alignment horizontal="left" vertical="center" wrapText="1"/>
    </xf>
    <xf numFmtId="3" fontId="3" fillId="8" borderId="1" xfId="0" applyNumberFormat="1" applyFont="1" applyFill="1" applyBorder="1" applyAlignment="1">
      <alignment horizontal="center" vertical="center"/>
    </xf>
    <xf numFmtId="0" fontId="4" fillId="5" borderId="1" xfId="0" applyFont="1" applyFill="1" applyBorder="1" applyAlignment="1">
      <alignment horizontal="center" vertical="center"/>
    </xf>
    <xf numFmtId="0" fontId="8" fillId="4" borderId="11" xfId="0" applyFont="1" applyFill="1" applyBorder="1" applyAlignment="1">
      <alignment horizontal="center" vertical="center"/>
    </xf>
    <xf numFmtId="0" fontId="4" fillId="5" borderId="1" xfId="0" applyFont="1" applyFill="1" applyBorder="1" applyAlignment="1">
      <alignment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wrapText="1"/>
    </xf>
    <xf numFmtId="165" fontId="1" fillId="9" borderId="1" xfId="5" quotePrefix="1" applyNumberFormat="1" applyFont="1" applyFill="1" applyBorder="1" applyAlignment="1" applyProtection="1">
      <alignment horizontal="center" vertical="center"/>
    </xf>
    <xf numFmtId="9" fontId="5" fillId="8" borderId="1" xfId="3" applyFont="1" applyFill="1" applyBorder="1" applyAlignment="1">
      <alignment horizontal="center" vertical="center"/>
    </xf>
    <xf numFmtId="2" fontId="3" fillId="8" borderId="1" xfId="0" applyNumberFormat="1" applyFont="1" applyFill="1" applyBorder="1" applyAlignment="1">
      <alignment horizontal="center" vertical="center"/>
    </xf>
    <xf numFmtId="9" fontId="5" fillId="2" borderId="1" xfId="3" applyFont="1" applyFill="1" applyBorder="1" applyAlignment="1">
      <alignment horizontal="center" vertical="center"/>
    </xf>
    <xf numFmtId="4" fontId="3" fillId="0" borderId="1" xfId="0" applyNumberFormat="1" applyFont="1" applyBorder="1" applyAlignment="1">
      <alignment horizontal="center" vertical="center"/>
    </xf>
    <xf numFmtId="0" fontId="3" fillId="0" borderId="1" xfId="0" applyFont="1" applyBorder="1" applyAlignment="1">
      <alignment vertical="center" wrapText="1"/>
    </xf>
    <xf numFmtId="0" fontId="8" fillId="4" borderId="1" xfId="0" applyFont="1" applyFill="1" applyBorder="1" applyAlignment="1">
      <alignment horizontal="center" vertical="center"/>
    </xf>
    <xf numFmtId="4" fontId="3" fillId="0" borderId="5" xfId="0" applyNumberFormat="1" applyFont="1" applyBorder="1" applyAlignment="1">
      <alignment horizontal="center" vertical="center" wrapText="1"/>
    </xf>
    <xf numFmtId="0" fontId="8" fillId="4" borderId="10" xfId="0" applyFont="1" applyFill="1" applyBorder="1" applyAlignment="1">
      <alignment horizontal="center" vertical="center" wrapText="1"/>
    </xf>
    <xf numFmtId="167" fontId="3" fillId="0" borderId="1" xfId="0" applyNumberFormat="1" applyFont="1" applyBorder="1" applyAlignment="1">
      <alignment horizontal="center" vertical="center" wrapText="1"/>
    </xf>
    <xf numFmtId="167" fontId="3" fillId="8" borderId="1" xfId="0" applyNumberFormat="1" applyFont="1" applyFill="1" applyBorder="1" applyAlignment="1">
      <alignment horizontal="center" vertical="center" wrapText="1"/>
    </xf>
    <xf numFmtId="167" fontId="4" fillId="5" borderId="1" xfId="0" applyNumberFormat="1"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12" fillId="4" borderId="1" xfId="0" applyFont="1" applyFill="1" applyBorder="1" applyAlignment="1">
      <alignment horizontal="center" vertical="center"/>
    </xf>
    <xf numFmtId="0" fontId="4" fillId="0" borderId="2" xfId="0" applyFont="1" applyBorder="1"/>
    <xf numFmtId="0" fontId="4" fillId="0" borderId="0" xfId="0" applyFont="1"/>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xf>
    <xf numFmtId="0" fontId="8" fillId="4" borderId="13" xfId="0" applyFont="1" applyFill="1" applyBorder="1" applyAlignment="1">
      <alignment horizontal="center" vertical="center" wrapText="1"/>
    </xf>
    <xf numFmtId="0" fontId="9" fillId="7"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3" borderId="1" xfId="0" applyFont="1" applyFill="1" applyBorder="1" applyAlignment="1">
      <alignment horizontal="center"/>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9" fillId="3" borderId="6" xfId="0" applyFont="1" applyFill="1" applyBorder="1" applyAlignment="1">
      <alignment horizontal="center"/>
    </xf>
    <xf numFmtId="0" fontId="9" fillId="3" borderId="3" xfId="0" applyFont="1" applyFill="1" applyBorder="1" applyAlignment="1">
      <alignment horizontal="center"/>
    </xf>
    <xf numFmtId="0" fontId="9" fillId="3" borderId="5" xfId="0" applyFont="1" applyFill="1" applyBorder="1" applyAlignment="1">
      <alignment horizontal="center"/>
    </xf>
    <xf numFmtId="0" fontId="8" fillId="3" borderId="11" xfId="0" applyFont="1" applyFill="1" applyBorder="1" applyAlignment="1">
      <alignment horizontal="center"/>
    </xf>
    <xf numFmtId="0" fontId="8" fillId="4" borderId="14" xfId="0" applyFont="1" applyFill="1" applyBorder="1" applyAlignment="1">
      <alignment horizontal="center"/>
    </xf>
    <xf numFmtId="0" fontId="8" fillId="4" borderId="11" xfId="0" applyFont="1" applyFill="1" applyBorder="1" applyAlignment="1">
      <alignment horizontal="center"/>
    </xf>
    <xf numFmtId="0" fontId="4" fillId="5" borderId="11" xfId="0" applyFont="1" applyFill="1" applyBorder="1" applyAlignment="1">
      <alignment horizontal="right" vertical="center"/>
    </xf>
    <xf numFmtId="0" fontId="8" fillId="4" borderId="11" xfId="0" applyFont="1" applyFill="1" applyBorder="1" applyAlignment="1">
      <alignment horizontal="center" vertical="center"/>
    </xf>
    <xf numFmtId="0" fontId="3" fillId="2" borderId="11" xfId="0" applyFont="1" applyFill="1" applyBorder="1" applyAlignment="1">
      <alignment horizontal="left" vertical="center" wrapText="1"/>
    </xf>
    <xf numFmtId="0" fontId="3" fillId="2" borderId="11" xfId="0" applyFont="1" applyFill="1" applyBorder="1" applyAlignment="1">
      <alignment horizontal="center" vertical="center" wrapText="1"/>
    </xf>
    <xf numFmtId="166" fontId="8" fillId="4" borderId="11" xfId="0" applyNumberFormat="1" applyFont="1" applyFill="1" applyBorder="1" applyAlignment="1">
      <alignment horizontal="center" vertical="center"/>
    </xf>
    <xf numFmtId="44" fontId="4" fillId="5" borderId="11" xfId="0" applyNumberFormat="1" applyFont="1" applyFill="1" applyBorder="1" applyAlignment="1">
      <alignment horizontal="center"/>
    </xf>
    <xf numFmtId="0" fontId="4" fillId="5" borderId="11" xfId="0" applyFont="1" applyFill="1" applyBorder="1" applyAlignment="1">
      <alignment horizontal="center"/>
    </xf>
    <xf numFmtId="0" fontId="3" fillId="0" borderId="1" xfId="0" applyFont="1" applyBorder="1" applyAlignment="1">
      <alignment horizontal="left" vertical="center" wrapText="1"/>
    </xf>
    <xf numFmtId="0" fontId="3" fillId="8" borderId="1" xfId="0" applyFont="1" applyFill="1" applyBorder="1" applyAlignment="1">
      <alignment horizontal="left" vertical="center" wrapText="1"/>
    </xf>
    <xf numFmtId="0" fontId="4" fillId="5" borderId="6" xfId="0" applyFont="1" applyFill="1" applyBorder="1" applyAlignment="1">
      <alignment horizontal="right" vertical="center" wrapText="1"/>
    </xf>
    <xf numFmtId="0" fontId="4" fillId="5" borderId="5" xfId="0" applyFont="1" applyFill="1" applyBorder="1" applyAlignment="1">
      <alignment horizontal="right" vertical="center" wrapText="1"/>
    </xf>
    <xf numFmtId="0" fontId="4" fillId="5" borderId="3" xfId="0" applyFont="1" applyFill="1" applyBorder="1" applyAlignment="1">
      <alignment horizontal="right" vertical="center" wrapText="1"/>
    </xf>
    <xf numFmtId="0" fontId="8" fillId="4" borderId="1" xfId="0" applyFont="1" applyFill="1" applyBorder="1" applyAlignment="1">
      <alignment horizontal="center" vertical="center" wrapText="1"/>
    </xf>
    <xf numFmtId="0" fontId="3" fillId="8" borderId="6" xfId="0" applyFont="1" applyFill="1" applyBorder="1" applyAlignment="1">
      <alignment horizontal="left" vertical="center" wrapText="1"/>
    </xf>
    <xf numFmtId="0" fontId="3" fillId="8" borderId="5" xfId="0" applyFont="1" applyFill="1" applyBorder="1" applyAlignment="1">
      <alignment horizontal="left" vertical="center" wrapText="1"/>
    </xf>
    <xf numFmtId="0" fontId="3" fillId="2" borderId="1" xfId="0" applyFont="1" applyFill="1" applyBorder="1" applyAlignment="1">
      <alignment horizontal="left" vertical="center"/>
    </xf>
    <xf numFmtId="0" fontId="5" fillId="8" borderId="1" xfId="0" applyFont="1" applyFill="1" applyBorder="1" applyAlignment="1">
      <alignment horizontal="left" vertical="center"/>
    </xf>
    <xf numFmtId="0" fontId="3" fillId="8" borderId="1" xfId="0" applyFont="1" applyFill="1" applyBorder="1" applyAlignment="1">
      <alignment horizontal="left" vertical="center"/>
    </xf>
    <xf numFmtId="0" fontId="5" fillId="2" borderId="1" xfId="0" applyFont="1" applyFill="1" applyBorder="1" applyAlignment="1">
      <alignment horizontal="left" vertical="center"/>
    </xf>
    <xf numFmtId="0" fontId="8"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8" fillId="3" borderId="1"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4" fontId="3" fillId="8" borderId="6" xfId="0" applyNumberFormat="1"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4" fillId="5" borderId="1" xfId="0" applyFont="1" applyFill="1" applyBorder="1" applyAlignment="1">
      <alignment horizontal="right" vertical="center" wrapText="1"/>
    </xf>
    <xf numFmtId="0" fontId="8" fillId="4" borderId="7"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6" xfId="0" applyFont="1" applyFill="1" applyBorder="1" applyAlignment="1">
      <alignment horizontal="left" vertical="center" wrapText="1"/>
    </xf>
    <xf numFmtId="0" fontId="8" fillId="4" borderId="5" xfId="0" applyFont="1" applyFill="1" applyBorder="1" applyAlignment="1">
      <alignment horizontal="left" vertical="center" wrapText="1"/>
    </xf>
    <xf numFmtId="0" fontId="3" fillId="8" borderId="6" xfId="0" applyFont="1" applyFill="1" applyBorder="1" applyAlignment="1">
      <alignment vertical="center" wrapText="1"/>
    </xf>
    <xf numFmtId="0" fontId="3" fillId="8" borderId="5" xfId="0" applyFont="1" applyFill="1" applyBorder="1" applyAlignment="1">
      <alignment vertical="center" wrapText="1"/>
    </xf>
    <xf numFmtId="0" fontId="4" fillId="5" borderId="6" xfId="0" applyFont="1" applyFill="1" applyBorder="1" applyAlignment="1">
      <alignment vertical="center" wrapText="1"/>
    </xf>
    <xf numFmtId="0" fontId="4" fillId="5" borderId="5" xfId="0" applyFont="1" applyFill="1" applyBorder="1" applyAlignment="1">
      <alignment vertical="center" wrapText="1"/>
    </xf>
    <xf numFmtId="0" fontId="3" fillId="8" borderId="6" xfId="0" applyFont="1" applyFill="1" applyBorder="1" applyAlignment="1">
      <alignment horizontal="left" vertical="center"/>
    </xf>
    <xf numFmtId="0" fontId="3" fillId="8" borderId="5" xfId="0" applyFont="1" applyFill="1" applyBorder="1" applyAlignment="1">
      <alignment horizontal="left" vertical="center"/>
    </xf>
    <xf numFmtId="0" fontId="4"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4" fillId="5" borderId="1" xfId="0" applyFont="1" applyFill="1" applyBorder="1" applyAlignment="1">
      <alignment horizontal="righ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4" fillId="5" borderId="6" xfId="0" applyFont="1" applyFill="1" applyBorder="1" applyAlignment="1">
      <alignment horizontal="right" vertical="center"/>
    </xf>
    <xf numFmtId="0" fontId="4" fillId="5" borderId="3" xfId="0" applyFont="1" applyFill="1" applyBorder="1" applyAlignment="1">
      <alignment horizontal="right" vertical="center"/>
    </xf>
    <xf numFmtId="0" fontId="4" fillId="5" borderId="5" xfId="0" applyFont="1" applyFill="1" applyBorder="1" applyAlignment="1">
      <alignment horizontal="right" vertical="center"/>
    </xf>
    <xf numFmtId="0" fontId="8" fillId="3" borderId="1" xfId="0" applyFont="1" applyFill="1" applyBorder="1" applyAlignment="1">
      <alignment horizontal="center"/>
    </xf>
    <xf numFmtId="0" fontId="4" fillId="0" borderId="6" xfId="0" applyFont="1" applyBorder="1" applyAlignment="1">
      <alignment horizontal="right" vertical="center" wrapText="1"/>
    </xf>
    <xf numFmtId="0" fontId="4" fillId="0" borderId="3" xfId="0" applyFont="1" applyBorder="1" applyAlignment="1">
      <alignment horizontal="right" vertical="center" wrapText="1"/>
    </xf>
    <xf numFmtId="0" fontId="4" fillId="0" borderId="5" xfId="0" applyFont="1" applyBorder="1" applyAlignment="1">
      <alignment horizontal="right" vertical="center" wrapText="1"/>
    </xf>
    <xf numFmtId="0" fontId="3" fillId="10" borderId="0" xfId="0" applyFont="1" applyFill="1" applyAlignment="1">
      <alignment horizontal="center"/>
    </xf>
    <xf numFmtId="0" fontId="4" fillId="0" borderId="0" xfId="0" applyFont="1" applyAlignment="1">
      <alignment horizontal="center"/>
    </xf>
    <xf numFmtId="0" fontId="3" fillId="0" borderId="4" xfId="0" applyFont="1" applyBorder="1" applyAlignment="1">
      <alignment horizontal="center"/>
    </xf>
    <xf numFmtId="0" fontId="4" fillId="0" borderId="0" xfId="0" applyFont="1" applyAlignment="1">
      <alignment horizontal="center"/>
    </xf>
    <xf numFmtId="166" fontId="4" fillId="0" borderId="5" xfId="0" applyNumberFormat="1" applyFont="1" applyBorder="1" applyAlignment="1">
      <alignment horizontal="center"/>
    </xf>
    <xf numFmtId="166" fontId="4" fillId="0" borderId="3" xfId="0" applyNumberFormat="1" applyFont="1" applyBorder="1" applyAlignment="1">
      <alignment horizontal="center"/>
    </xf>
    <xf numFmtId="0" fontId="4" fillId="10" borderId="3" xfId="0" applyFont="1" applyFill="1" applyBorder="1" applyAlignment="1">
      <alignment horizontal="center"/>
    </xf>
    <xf numFmtId="0" fontId="4" fillId="10" borderId="6" xfId="0" applyFont="1" applyFill="1" applyBorder="1" applyAlignment="1">
      <alignment horizontal="center"/>
    </xf>
    <xf numFmtId="167" fontId="4" fillId="0" borderId="0" xfId="0" applyNumberFormat="1" applyFont="1" applyAlignment="1">
      <alignment horizontal="center"/>
    </xf>
    <xf numFmtId="0" fontId="3" fillId="0" borderId="0" xfId="0" applyFont="1" applyAlignment="1">
      <alignment horizontal="left" wrapText="1"/>
    </xf>
    <xf numFmtId="0" fontId="3" fillId="0" borderId="0" xfId="0" applyFont="1" applyAlignment="1">
      <alignment horizontal="left" vertical="center" wrapText="1"/>
    </xf>
    <xf numFmtId="0" fontId="3" fillId="0" borderId="0" xfId="0" applyFont="1" applyAlignment="1">
      <alignment horizontal="left" vertical="center"/>
    </xf>
    <xf numFmtId="4" fontId="4" fillId="5" borderId="0" xfId="0" applyNumberFormat="1" applyFont="1" applyFill="1" applyAlignment="1">
      <alignment horizontal="center" vertical="center" wrapText="1"/>
    </xf>
    <xf numFmtId="0" fontId="4" fillId="5" borderId="0" xfId="0" applyFont="1" applyFill="1" applyAlignment="1">
      <alignment horizontal="right" vertical="center" wrapText="1"/>
    </xf>
    <xf numFmtId="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8" fillId="4" borderId="0" xfId="0" applyFont="1" applyFill="1" applyAlignment="1">
      <alignment horizontal="center" vertical="center" wrapText="1"/>
    </xf>
    <xf numFmtId="0" fontId="8" fillId="4" borderId="0" xfId="0" applyFont="1" applyFill="1" applyAlignment="1">
      <alignment horizontal="center" vertical="center" wrapText="1"/>
    </xf>
    <xf numFmtId="0" fontId="8" fillId="6" borderId="0" xfId="0" applyFont="1" applyFill="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wrapText="1"/>
    </xf>
    <xf numFmtId="0" fontId="4" fillId="0" borderId="0" xfId="0" applyFont="1" applyAlignment="1">
      <alignment horizontal="left" vertical="center"/>
    </xf>
    <xf numFmtId="0" fontId="1" fillId="10" borderId="5" xfId="0" applyFont="1" applyFill="1" applyBorder="1"/>
    <xf numFmtId="0" fontId="8" fillId="6" borderId="3" xfId="0" applyFont="1" applyFill="1" applyBorder="1"/>
    <xf numFmtId="0" fontId="1" fillId="10" borderId="3" xfId="0" applyFont="1" applyFill="1" applyBorder="1"/>
    <xf numFmtId="0" fontId="8" fillId="6" borderId="3" xfId="0" applyFont="1" applyFill="1" applyBorder="1" applyAlignment="1">
      <alignment horizontal="center"/>
    </xf>
    <xf numFmtId="0" fontId="8" fillId="6" borderId="3" xfId="0" applyFont="1" applyFill="1" applyBorder="1" applyAlignment="1">
      <alignment horizontal="right"/>
    </xf>
    <xf numFmtId="0" fontId="8" fillId="6" borderId="6" xfId="0" applyFont="1" applyFill="1" applyBorder="1" applyAlignment="1">
      <alignment horizontal="right"/>
    </xf>
    <xf numFmtId="0" fontId="1" fillId="10" borderId="5" xfId="0" applyFont="1" applyFill="1" applyBorder="1" applyAlignment="1">
      <alignment horizontal="center"/>
    </xf>
    <xf numFmtId="0" fontId="1" fillId="10" borderId="3" xfId="0" applyFont="1" applyFill="1" applyBorder="1" applyAlignment="1">
      <alignment horizontal="center"/>
    </xf>
    <xf numFmtId="0" fontId="10" fillId="10" borderId="3" xfId="0" applyFont="1" applyFill="1" applyBorder="1" applyAlignment="1">
      <alignment horizontal="center"/>
    </xf>
    <xf numFmtId="0" fontId="8" fillId="6" borderId="6" xfId="0" applyFont="1" applyFill="1" applyBorder="1"/>
    <xf numFmtId="0" fontId="8" fillId="6" borderId="3" xfId="0" applyFont="1" applyFill="1" applyBorder="1" applyAlignment="1">
      <alignment horizontal="center"/>
    </xf>
    <xf numFmtId="0" fontId="8" fillId="6" borderId="6" xfId="0" applyFont="1" applyFill="1" applyBorder="1" applyAlignment="1">
      <alignment horizontal="center"/>
    </xf>
    <xf numFmtId="0" fontId="3" fillId="2" borderId="5" xfId="0" applyFont="1" applyFill="1" applyBorder="1" applyAlignment="1">
      <alignment horizontal="center"/>
    </xf>
    <xf numFmtId="0" fontId="3" fillId="2" borderId="3" xfId="0" applyFont="1" applyFill="1" applyBorder="1" applyAlignment="1">
      <alignment horizontal="center"/>
    </xf>
    <xf numFmtId="0" fontId="8" fillId="6" borderId="3" xfId="0" applyFont="1" applyFill="1" applyBorder="1" applyAlignment="1">
      <alignment horizontal="left"/>
    </xf>
    <xf numFmtId="0" fontId="8" fillId="6" borderId="6" xfId="0" applyFont="1" applyFill="1" applyBorder="1" applyAlignment="1">
      <alignment horizontal="left"/>
    </xf>
    <xf numFmtId="0" fontId="1" fillId="10" borderId="5" xfId="0" applyFont="1" applyFill="1" applyBorder="1" applyAlignment="1">
      <alignment horizontal="left"/>
    </xf>
    <xf numFmtId="0" fontId="1" fillId="10" borderId="3" xfId="0" applyFont="1" applyFill="1" applyBorder="1" applyAlignment="1">
      <alignment horizontal="left"/>
    </xf>
  </cellXfs>
  <cellStyles count="7">
    <cellStyle name="Normal" xfId="0" builtinId="0"/>
    <cellStyle name="Normal 2 2" xfId="1" xr:uid="{00000000-0005-0000-0000-000001000000}"/>
    <cellStyle name="Normal 2 2 2" xfId="6" xr:uid="{1E097E8A-34D9-48BB-A7D3-C42B4384A7A0}"/>
    <cellStyle name="Porcentagem" xfId="3" builtinId="5"/>
    <cellStyle name="Porcentagem 10 2" xfId="5" xr:uid="{19BD54D8-2E3C-4D39-BD49-13A42D1DDBBA}"/>
    <cellStyle name="Porcentagem 13" xfId="4" xr:uid="{35DEB145-C009-4447-8DC4-3266326AD0FE}"/>
    <cellStyle name="Separador de milhares 2_ORÇAMENTO matureia corrigido (DEZ 2009)" xfId="2" xr:uid="{00000000-0005-0000-0000-000002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7</xdr:col>
          <xdr:colOff>0</xdr:colOff>
          <xdr:row>3</xdr:row>
          <xdr:rowOff>12700</xdr:rowOff>
        </xdr:from>
        <xdr:ext cx="771525" cy="171450"/>
        <xdr:sp macro="" textlink="">
          <xdr:nvSpPr>
            <xdr:cNvPr id="10245" name="Check Box 5" hidden="1">
              <a:extLst>
                <a:ext uri="{63B3BB69-23CF-44E3-9099-C40C66FF867C}">
                  <a14:compatExt spid="_x0000_s10245"/>
                </a:ext>
                <a:ext uri="{FF2B5EF4-FFF2-40B4-BE49-F238E27FC236}">
                  <a16:creationId xmlns:a16="http://schemas.microsoft.com/office/drawing/2014/main" id="{07C2ADA0-AF1F-43B5-947A-52D5C8610B79}"/>
                </a:ext>
              </a:extLst>
            </xdr:cNvPr>
            <xdr:cNvSpPr/>
          </xdr:nvSpPr>
          <xdr:spPr bwMode="auto">
            <a:xfrm>
              <a:off x="0" y="0"/>
              <a:ext cx="0" cy="0"/>
            </a:xfrm>
            <a:prstGeom prst="rect">
              <a:avLst/>
            </a:prstGeom>
            <a:solidFill>
              <a:srgbClr val="D8D8D8"/>
            </a:solidFill>
            <a:ln w="9525">
              <a:solidFill>
                <a:srgbClr val="000000"/>
              </a:solidFill>
              <a:miter lim="800000"/>
              <a:headEnd/>
              <a:tailEnd/>
            </a:ln>
          </xdr:spPr>
          <xdr:txBody>
            <a:bodyPr vertOverflow="clip" wrap="square" lIns="36576" tIns="32004" rIns="0" bIns="32004" anchor="ctr" upright="1"/>
            <a:lstStyle/>
            <a:p>
              <a:pPr algn="l" rtl="0">
                <a:defRPr sz="1000"/>
              </a:pPr>
              <a:r>
                <a:rPr lang="pt-BR" sz="800" b="0" i="0" u="none" strike="noStrike" baseline="0">
                  <a:solidFill>
                    <a:srgbClr val="000000"/>
                  </a:solidFill>
                  <a:latin typeface="Segoe UI"/>
                  <a:cs typeface="Segoe UI"/>
                </a:rPr>
                <a:t>Sim</a:t>
              </a:r>
            </a:p>
          </xdr:txBody>
        </xdr:sp>
        <xdr:clientData/>
      </xdr:oneCellAnchor>
    </mc:Choice>
    <mc:Fallback/>
  </mc:AlternateContent>
  <mc:AlternateContent xmlns:mc="http://schemas.openxmlformats.org/markup-compatibility/2006">
    <mc:Choice xmlns:a14="http://schemas.microsoft.com/office/drawing/2010/main" Requires="a14">
      <xdr:oneCellAnchor>
        <xdr:from>
          <xdr:col>7</xdr:col>
          <xdr:colOff>793750</xdr:colOff>
          <xdr:row>3</xdr:row>
          <xdr:rowOff>6350</xdr:rowOff>
        </xdr:from>
        <xdr:ext cx="1104900" cy="161925"/>
        <xdr:sp macro="" textlink="">
          <xdr:nvSpPr>
            <xdr:cNvPr id="10246" name="Check Box 6" hidden="1">
              <a:extLst>
                <a:ext uri="{63B3BB69-23CF-44E3-9099-C40C66FF867C}">
                  <a14:compatExt spid="_x0000_s10246"/>
                </a:ext>
                <a:ext uri="{FF2B5EF4-FFF2-40B4-BE49-F238E27FC236}">
                  <a16:creationId xmlns:a16="http://schemas.microsoft.com/office/drawing/2014/main" id="{23A9F5A9-862A-43FF-8DCC-62A9959F8138}"/>
                </a:ext>
              </a:extLst>
            </xdr:cNvPr>
            <xdr:cNvSpPr/>
          </xdr:nvSpPr>
          <xdr:spPr bwMode="auto">
            <a:xfrm>
              <a:off x="0" y="0"/>
              <a:ext cx="0" cy="0"/>
            </a:xfrm>
            <a:prstGeom prst="rect">
              <a:avLst/>
            </a:prstGeom>
            <a:solidFill>
              <a:srgbClr val="D8D8D8"/>
            </a:solidFill>
            <a:ln w="9525">
              <a:solidFill>
                <a:srgbClr val="000000"/>
              </a:solidFill>
              <a:miter lim="800000"/>
              <a:headEnd/>
              <a:tailEnd/>
            </a:ln>
          </xdr:spPr>
          <xdr:txBody>
            <a:bodyPr vertOverflow="clip" wrap="square" lIns="36576" tIns="32004" rIns="0" bIns="32004" anchor="ctr" upright="1"/>
            <a:lstStyle/>
            <a:p>
              <a:pPr algn="l" rtl="0">
                <a:defRPr sz="1000"/>
              </a:pPr>
              <a:r>
                <a:rPr lang="pt-BR" sz="800" b="0" i="0" u="none" strike="noStrike" baseline="0">
                  <a:solidFill>
                    <a:srgbClr val="000000"/>
                  </a:solidFill>
                  <a:latin typeface="Segoe UI"/>
                  <a:cs typeface="Segoe UI"/>
                </a:rPr>
                <a:t>Não</a:t>
              </a:r>
            </a:p>
          </xdr:txBody>
        </xdr:sp>
        <xdr:clientData/>
      </xdr:oneCellAnchor>
    </mc:Choice>
    <mc:Fallback/>
  </mc:AlternateContent>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1F783-2D77-4229-BF51-1FAEDEABE740}">
  <sheetPr codeName="Planilha1">
    <pageSetUpPr fitToPage="1"/>
  </sheetPr>
  <dimension ref="A1:R38"/>
  <sheetViews>
    <sheetView view="pageBreakPreview" zoomScale="80" zoomScaleNormal="85" zoomScaleSheetLayoutView="80" workbookViewId="0">
      <selection activeCell="F33" sqref="F33"/>
    </sheetView>
  </sheetViews>
  <sheetFormatPr defaultRowHeight="14.5" x14ac:dyDescent="0.35"/>
  <cols>
    <col min="1" max="1" width="32.1796875" bestFit="1" customWidth="1"/>
    <col min="2" max="17" width="12.453125" customWidth="1"/>
    <col min="18" max="18" width="10" customWidth="1"/>
  </cols>
  <sheetData>
    <row r="1" spans="1:18" x14ac:dyDescent="0.35">
      <c r="A1" s="97" t="s">
        <v>198</v>
      </c>
      <c r="B1" s="97"/>
      <c r="C1" s="97"/>
      <c r="D1" s="97"/>
      <c r="E1" s="97"/>
      <c r="F1" s="97"/>
      <c r="G1" s="97"/>
      <c r="H1" s="97"/>
      <c r="I1" s="97"/>
      <c r="J1" s="97"/>
      <c r="K1" s="97"/>
      <c r="L1" s="97"/>
      <c r="M1" s="97"/>
      <c r="N1" s="97"/>
      <c r="O1" s="97"/>
      <c r="P1" s="97"/>
      <c r="Q1" s="97"/>
      <c r="R1" s="97"/>
    </row>
    <row r="2" spans="1:18" ht="18" customHeight="1" x14ac:dyDescent="0.35">
      <c r="A2" s="94" t="s">
        <v>87</v>
      </c>
      <c r="B2" s="96" t="s">
        <v>95</v>
      </c>
      <c r="C2" s="96"/>
      <c r="D2" s="96"/>
      <c r="E2" s="96"/>
      <c r="F2" s="96"/>
      <c r="G2" s="96"/>
      <c r="H2" s="96"/>
      <c r="I2" s="96"/>
      <c r="J2" s="96"/>
      <c r="K2" s="96"/>
      <c r="L2" s="96"/>
      <c r="M2" s="96"/>
      <c r="N2" s="96"/>
      <c r="O2" s="96"/>
      <c r="P2" s="96"/>
      <c r="Q2" s="96"/>
      <c r="R2" s="95" t="s">
        <v>102</v>
      </c>
    </row>
    <row r="3" spans="1:18" ht="94.5" customHeight="1" x14ac:dyDescent="0.35">
      <c r="A3" s="94"/>
      <c r="B3" s="57" t="s">
        <v>105</v>
      </c>
      <c r="C3" s="57" t="s">
        <v>152</v>
      </c>
      <c r="D3" s="57" t="s">
        <v>106</v>
      </c>
      <c r="E3" s="57" t="s">
        <v>107</v>
      </c>
      <c r="F3" s="57" t="s">
        <v>109</v>
      </c>
      <c r="G3" s="57" t="s">
        <v>110</v>
      </c>
      <c r="H3" s="57" t="s">
        <v>108</v>
      </c>
      <c r="I3" s="57" t="s">
        <v>111</v>
      </c>
      <c r="J3" s="57" t="s">
        <v>112</v>
      </c>
      <c r="K3" s="57" t="s">
        <v>153</v>
      </c>
      <c r="L3" s="57" t="s">
        <v>113</v>
      </c>
      <c r="M3" s="57" t="s">
        <v>93</v>
      </c>
      <c r="N3" s="57" t="s">
        <v>114</v>
      </c>
      <c r="O3" s="57" t="s">
        <v>96</v>
      </c>
      <c r="P3" s="57" t="s">
        <v>154</v>
      </c>
      <c r="Q3" s="57" t="s">
        <v>115</v>
      </c>
      <c r="R3" s="95"/>
    </row>
    <row r="4" spans="1:18" ht="15" customHeight="1" x14ac:dyDescent="0.35">
      <c r="A4" s="34" t="s">
        <v>139</v>
      </c>
      <c r="B4" s="55" t="s">
        <v>60</v>
      </c>
      <c r="C4" s="32" t="s">
        <v>60</v>
      </c>
      <c r="D4" s="55">
        <v>1</v>
      </c>
      <c r="E4" s="55" t="s">
        <v>60</v>
      </c>
      <c r="F4" s="55" t="s">
        <v>60</v>
      </c>
      <c r="G4" s="55" t="s">
        <v>60</v>
      </c>
      <c r="H4" s="55" t="s">
        <v>60</v>
      </c>
      <c r="I4" s="55" t="s">
        <v>60</v>
      </c>
      <c r="J4" s="55" t="s">
        <v>60</v>
      </c>
      <c r="K4" s="55" t="s">
        <v>60</v>
      </c>
      <c r="L4" s="55" t="s">
        <v>60</v>
      </c>
      <c r="M4" s="55" t="s">
        <v>60</v>
      </c>
      <c r="N4" s="55" t="s">
        <v>60</v>
      </c>
      <c r="O4" s="55" t="s">
        <v>60</v>
      </c>
      <c r="P4" s="55" t="s">
        <v>60</v>
      </c>
      <c r="Q4" s="55" t="s">
        <v>60</v>
      </c>
      <c r="R4" s="36">
        <f t="shared" ref="R4:R17" si="0">ROUND(SUM(B4:Q4),2)</f>
        <v>1</v>
      </c>
    </row>
    <row r="5" spans="1:18" ht="15" customHeight="1" x14ac:dyDescent="0.35">
      <c r="A5" s="44" t="s">
        <v>155</v>
      </c>
      <c r="B5" s="56" t="s">
        <v>60</v>
      </c>
      <c r="C5" s="56" t="s">
        <v>60</v>
      </c>
      <c r="D5" s="56" t="s">
        <v>60</v>
      </c>
      <c r="E5" s="56" t="s">
        <v>60</v>
      </c>
      <c r="F5" s="56" t="s">
        <v>60</v>
      </c>
      <c r="G5" s="56" t="s">
        <v>60</v>
      </c>
      <c r="H5" s="56" t="s">
        <v>60</v>
      </c>
      <c r="I5" s="56">
        <v>2</v>
      </c>
      <c r="J5" s="56" t="s">
        <v>60</v>
      </c>
      <c r="K5" s="56" t="s">
        <v>60</v>
      </c>
      <c r="L5" s="56" t="s">
        <v>60</v>
      </c>
      <c r="M5" s="56" t="s">
        <v>60</v>
      </c>
      <c r="N5" s="56" t="s">
        <v>60</v>
      </c>
      <c r="O5" s="56" t="s">
        <v>60</v>
      </c>
      <c r="P5" s="56" t="s">
        <v>60</v>
      </c>
      <c r="Q5" s="56" t="s">
        <v>60</v>
      </c>
      <c r="R5" s="36">
        <f t="shared" si="0"/>
        <v>2</v>
      </c>
    </row>
    <row r="6" spans="1:18" ht="15" customHeight="1" x14ac:dyDescent="0.35">
      <c r="A6" s="35" t="s">
        <v>140</v>
      </c>
      <c r="B6" s="55" t="s">
        <v>60</v>
      </c>
      <c r="C6" s="55" t="s">
        <v>60</v>
      </c>
      <c r="D6" s="55" t="s">
        <v>60</v>
      </c>
      <c r="E6" s="55" t="s">
        <v>60</v>
      </c>
      <c r="F6" s="55" t="s">
        <v>60</v>
      </c>
      <c r="G6" s="55" t="s">
        <v>60</v>
      </c>
      <c r="H6" s="55" t="s">
        <v>60</v>
      </c>
      <c r="I6" s="55" t="s">
        <v>60</v>
      </c>
      <c r="J6" s="55" t="s">
        <v>60</v>
      </c>
      <c r="K6" s="55">
        <v>1</v>
      </c>
      <c r="L6" s="55" t="s">
        <v>60</v>
      </c>
      <c r="M6" s="55" t="s">
        <v>60</v>
      </c>
      <c r="N6" s="55" t="s">
        <v>60</v>
      </c>
      <c r="O6" s="55" t="s">
        <v>60</v>
      </c>
      <c r="P6" s="55" t="s">
        <v>60</v>
      </c>
      <c r="Q6" s="55" t="s">
        <v>60</v>
      </c>
      <c r="R6" s="36">
        <f t="shared" si="0"/>
        <v>1</v>
      </c>
    </row>
    <row r="7" spans="1:18" ht="15" customHeight="1" x14ac:dyDescent="0.35">
      <c r="A7" s="42" t="s">
        <v>141</v>
      </c>
      <c r="B7" s="56" t="s">
        <v>60</v>
      </c>
      <c r="C7" s="69">
        <v>1</v>
      </c>
      <c r="D7" s="56" t="s">
        <v>60</v>
      </c>
      <c r="E7" s="56" t="s">
        <v>60</v>
      </c>
      <c r="F7" s="56" t="s">
        <v>60</v>
      </c>
      <c r="G7" s="56">
        <v>6</v>
      </c>
      <c r="H7" s="56" t="s">
        <v>60</v>
      </c>
      <c r="I7" s="56" t="s">
        <v>60</v>
      </c>
      <c r="J7" s="56">
        <v>2</v>
      </c>
      <c r="K7" s="56">
        <v>2</v>
      </c>
      <c r="L7" s="56" t="s">
        <v>60</v>
      </c>
      <c r="M7" s="56">
        <v>1</v>
      </c>
      <c r="N7" s="56">
        <v>1</v>
      </c>
      <c r="O7" s="56">
        <v>2</v>
      </c>
      <c r="P7" s="56">
        <v>1</v>
      </c>
      <c r="Q7" s="56" t="s">
        <v>60</v>
      </c>
      <c r="R7" s="36">
        <f t="shared" si="0"/>
        <v>16</v>
      </c>
    </row>
    <row r="8" spans="1:18" ht="15" customHeight="1" x14ac:dyDescent="0.35">
      <c r="A8" s="34" t="s">
        <v>142</v>
      </c>
      <c r="B8" s="55">
        <v>3</v>
      </c>
      <c r="C8" s="55" t="s">
        <v>60</v>
      </c>
      <c r="D8" s="55">
        <v>2</v>
      </c>
      <c r="E8" s="55" t="s">
        <v>60</v>
      </c>
      <c r="F8" s="55">
        <v>1</v>
      </c>
      <c r="G8" s="55">
        <v>1</v>
      </c>
      <c r="H8" s="55">
        <v>1</v>
      </c>
      <c r="I8" s="55" t="s">
        <v>60</v>
      </c>
      <c r="J8" s="55">
        <v>1</v>
      </c>
      <c r="K8" s="55" t="s">
        <v>60</v>
      </c>
      <c r="L8" s="55" t="s">
        <v>60</v>
      </c>
      <c r="M8" s="55">
        <v>1</v>
      </c>
      <c r="N8" s="55">
        <v>1</v>
      </c>
      <c r="O8" s="55" t="s">
        <v>60</v>
      </c>
      <c r="P8" s="55" t="s">
        <v>60</v>
      </c>
      <c r="Q8" s="55" t="s">
        <v>60</v>
      </c>
      <c r="R8" s="36">
        <f t="shared" si="0"/>
        <v>11</v>
      </c>
    </row>
    <row r="9" spans="1:18" ht="15" customHeight="1" x14ac:dyDescent="0.35">
      <c r="A9" s="44" t="s">
        <v>143</v>
      </c>
      <c r="B9" s="56" t="s">
        <v>60</v>
      </c>
      <c r="C9" s="56" t="s">
        <v>60</v>
      </c>
      <c r="D9" s="56" t="s">
        <v>60</v>
      </c>
      <c r="E9" s="56">
        <v>1</v>
      </c>
      <c r="F9" s="56" t="s">
        <v>60</v>
      </c>
      <c r="G9" s="56" t="s">
        <v>60</v>
      </c>
      <c r="H9" s="56" t="s">
        <v>60</v>
      </c>
      <c r="I9" s="56" t="s">
        <v>60</v>
      </c>
      <c r="J9" s="56" t="s">
        <v>60</v>
      </c>
      <c r="K9" s="56" t="s">
        <v>60</v>
      </c>
      <c r="L9" s="56" t="s">
        <v>60</v>
      </c>
      <c r="M9" s="56" t="s">
        <v>60</v>
      </c>
      <c r="N9" s="56" t="s">
        <v>60</v>
      </c>
      <c r="O9" s="56" t="s">
        <v>60</v>
      </c>
      <c r="P9" s="56" t="s">
        <v>60</v>
      </c>
      <c r="Q9" s="56" t="s">
        <v>60</v>
      </c>
      <c r="R9" s="36">
        <f t="shared" si="0"/>
        <v>1</v>
      </c>
    </row>
    <row r="10" spans="1:18" ht="15" customHeight="1" x14ac:dyDescent="0.35">
      <c r="A10" s="35" t="s">
        <v>144</v>
      </c>
      <c r="B10" s="55" t="s">
        <v>60</v>
      </c>
      <c r="C10" s="55" t="s">
        <v>60</v>
      </c>
      <c r="D10" s="55" t="s">
        <v>60</v>
      </c>
      <c r="E10" s="55" t="s">
        <v>60</v>
      </c>
      <c r="F10" s="55" t="s">
        <v>60</v>
      </c>
      <c r="G10" s="55" t="s">
        <v>60</v>
      </c>
      <c r="H10" s="55" t="s">
        <v>60</v>
      </c>
      <c r="I10" s="55" t="s">
        <v>60</v>
      </c>
      <c r="J10" s="55" t="s">
        <v>60</v>
      </c>
      <c r="K10" s="55" t="s">
        <v>60</v>
      </c>
      <c r="L10" s="55">
        <v>1</v>
      </c>
      <c r="M10" s="55" t="s">
        <v>60</v>
      </c>
      <c r="N10" s="55" t="s">
        <v>60</v>
      </c>
      <c r="O10" s="55" t="s">
        <v>60</v>
      </c>
      <c r="P10" s="55" t="s">
        <v>60</v>
      </c>
      <c r="Q10" s="55" t="s">
        <v>60</v>
      </c>
      <c r="R10" s="36">
        <f t="shared" si="0"/>
        <v>1</v>
      </c>
    </row>
    <row r="11" spans="1:18" ht="15" customHeight="1" x14ac:dyDescent="0.35">
      <c r="A11" s="44" t="s">
        <v>145</v>
      </c>
      <c r="B11" s="56" t="s">
        <v>60</v>
      </c>
      <c r="C11" s="56" t="s">
        <v>60</v>
      </c>
      <c r="D11" s="56" t="s">
        <v>60</v>
      </c>
      <c r="E11" s="56" t="s">
        <v>60</v>
      </c>
      <c r="F11" s="56" t="s">
        <v>60</v>
      </c>
      <c r="G11" s="56" t="s">
        <v>60</v>
      </c>
      <c r="H11" s="56">
        <v>1</v>
      </c>
      <c r="I11" s="56" t="s">
        <v>60</v>
      </c>
      <c r="J11" s="56" t="s">
        <v>60</v>
      </c>
      <c r="K11" s="56" t="s">
        <v>60</v>
      </c>
      <c r="L11" s="56" t="s">
        <v>60</v>
      </c>
      <c r="M11" s="56" t="s">
        <v>60</v>
      </c>
      <c r="N11" s="56" t="s">
        <v>60</v>
      </c>
      <c r="O11" s="56" t="s">
        <v>60</v>
      </c>
      <c r="P11" s="56" t="s">
        <v>60</v>
      </c>
      <c r="Q11" s="56" t="s">
        <v>60</v>
      </c>
      <c r="R11" s="36">
        <f t="shared" si="0"/>
        <v>1</v>
      </c>
    </row>
    <row r="12" spans="1:18" ht="15" customHeight="1" x14ac:dyDescent="0.35">
      <c r="A12" s="34" t="s">
        <v>146</v>
      </c>
      <c r="B12" s="63" t="s">
        <v>60</v>
      </c>
      <c r="C12" s="63" t="s">
        <v>60</v>
      </c>
      <c r="D12" s="55">
        <v>1</v>
      </c>
      <c r="E12" s="63" t="s">
        <v>60</v>
      </c>
      <c r="F12" s="63" t="s">
        <v>60</v>
      </c>
      <c r="G12" s="63" t="s">
        <v>60</v>
      </c>
      <c r="H12" s="63" t="s">
        <v>60</v>
      </c>
      <c r="I12" s="63" t="s">
        <v>60</v>
      </c>
      <c r="J12" s="63" t="s">
        <v>60</v>
      </c>
      <c r="K12" s="63" t="s">
        <v>60</v>
      </c>
      <c r="L12" s="63" t="s">
        <v>60</v>
      </c>
      <c r="M12" s="63" t="s">
        <v>60</v>
      </c>
      <c r="N12" s="63" t="s">
        <v>60</v>
      </c>
      <c r="O12" s="63" t="s">
        <v>60</v>
      </c>
      <c r="P12" s="63" t="s">
        <v>60</v>
      </c>
      <c r="Q12" s="63" t="s">
        <v>60</v>
      </c>
      <c r="R12" s="36">
        <f t="shared" si="0"/>
        <v>1</v>
      </c>
    </row>
    <row r="13" spans="1:18" ht="15" customHeight="1" x14ac:dyDescent="0.35">
      <c r="A13" s="42" t="s">
        <v>147</v>
      </c>
      <c r="B13" s="56" t="s">
        <v>60</v>
      </c>
      <c r="C13" s="56" t="s">
        <v>60</v>
      </c>
      <c r="D13" s="56" t="s">
        <v>60</v>
      </c>
      <c r="E13" s="56" t="s">
        <v>60</v>
      </c>
      <c r="F13" s="56" t="s">
        <v>60</v>
      </c>
      <c r="G13" s="56" t="s">
        <v>60</v>
      </c>
      <c r="H13" s="56" t="s">
        <v>60</v>
      </c>
      <c r="I13" s="56" t="s">
        <v>60</v>
      </c>
      <c r="J13" s="56" t="s">
        <v>60</v>
      </c>
      <c r="K13" s="56" t="s">
        <v>60</v>
      </c>
      <c r="L13" s="56">
        <v>1</v>
      </c>
      <c r="M13" s="56" t="s">
        <v>60</v>
      </c>
      <c r="N13" s="56" t="s">
        <v>60</v>
      </c>
      <c r="O13" s="56" t="s">
        <v>60</v>
      </c>
      <c r="P13" s="56" t="s">
        <v>60</v>
      </c>
      <c r="Q13" s="56" t="s">
        <v>60</v>
      </c>
      <c r="R13" s="36">
        <f t="shared" si="0"/>
        <v>1</v>
      </c>
    </row>
    <row r="14" spans="1:18" ht="15" customHeight="1" x14ac:dyDescent="0.35">
      <c r="A14" s="35" t="s">
        <v>148</v>
      </c>
      <c r="B14" s="55" t="s">
        <v>60</v>
      </c>
      <c r="C14" s="55" t="s">
        <v>60</v>
      </c>
      <c r="D14" s="55" t="s">
        <v>60</v>
      </c>
      <c r="E14" s="55" t="s">
        <v>60</v>
      </c>
      <c r="F14" s="55" t="s">
        <v>60</v>
      </c>
      <c r="G14" s="55" t="s">
        <v>60</v>
      </c>
      <c r="H14" s="55" t="s">
        <v>60</v>
      </c>
      <c r="I14" s="55" t="s">
        <v>60</v>
      </c>
      <c r="J14" s="55">
        <v>2</v>
      </c>
      <c r="K14" s="55" t="s">
        <v>60</v>
      </c>
      <c r="L14" s="55" t="s">
        <v>60</v>
      </c>
      <c r="M14" s="55" t="s">
        <v>60</v>
      </c>
      <c r="N14" s="55" t="s">
        <v>60</v>
      </c>
      <c r="O14" s="55" t="s">
        <v>60</v>
      </c>
      <c r="P14" s="55" t="s">
        <v>60</v>
      </c>
      <c r="Q14" s="55" t="s">
        <v>60</v>
      </c>
      <c r="R14" s="36">
        <f t="shared" si="0"/>
        <v>2</v>
      </c>
    </row>
    <row r="15" spans="1:18" ht="15" customHeight="1" x14ac:dyDescent="0.35">
      <c r="A15" s="44" t="s">
        <v>149</v>
      </c>
      <c r="B15" s="43" t="s">
        <v>60</v>
      </c>
      <c r="C15" s="43" t="s">
        <v>60</v>
      </c>
      <c r="D15" s="56">
        <v>1</v>
      </c>
      <c r="E15" s="43" t="s">
        <v>60</v>
      </c>
      <c r="F15" s="43" t="s">
        <v>60</v>
      </c>
      <c r="G15" s="43" t="s">
        <v>60</v>
      </c>
      <c r="H15" s="43" t="s">
        <v>60</v>
      </c>
      <c r="I15" s="43" t="s">
        <v>60</v>
      </c>
      <c r="J15" s="43" t="s">
        <v>60</v>
      </c>
      <c r="K15" s="43" t="s">
        <v>60</v>
      </c>
      <c r="L15" s="43" t="s">
        <v>60</v>
      </c>
      <c r="M15" s="43" t="s">
        <v>60</v>
      </c>
      <c r="N15" s="43" t="s">
        <v>60</v>
      </c>
      <c r="O15" s="43" t="s">
        <v>60</v>
      </c>
      <c r="P15" s="43" t="s">
        <v>60</v>
      </c>
      <c r="Q15" s="43" t="s">
        <v>60</v>
      </c>
      <c r="R15" s="36">
        <f t="shared" si="0"/>
        <v>1</v>
      </c>
    </row>
    <row r="16" spans="1:18" ht="15" customHeight="1" x14ac:dyDescent="0.35">
      <c r="A16" s="35" t="s">
        <v>150</v>
      </c>
      <c r="B16" s="55" t="s">
        <v>60</v>
      </c>
      <c r="C16" s="55" t="s">
        <v>60</v>
      </c>
      <c r="D16" s="55" t="s">
        <v>60</v>
      </c>
      <c r="E16" s="55" t="s">
        <v>60</v>
      </c>
      <c r="F16" s="55" t="s">
        <v>60</v>
      </c>
      <c r="G16" s="55" t="s">
        <v>60</v>
      </c>
      <c r="H16" s="55" t="s">
        <v>60</v>
      </c>
      <c r="I16" s="55" t="s">
        <v>60</v>
      </c>
      <c r="J16" s="55" t="s">
        <v>60</v>
      </c>
      <c r="K16" s="55" t="s">
        <v>60</v>
      </c>
      <c r="L16" s="55" t="s">
        <v>60</v>
      </c>
      <c r="M16" s="55" t="s">
        <v>60</v>
      </c>
      <c r="N16" s="55" t="s">
        <v>60</v>
      </c>
      <c r="O16" s="55" t="s">
        <v>60</v>
      </c>
      <c r="P16" s="55" t="s">
        <v>60</v>
      </c>
      <c r="Q16" s="55">
        <v>1</v>
      </c>
      <c r="R16" s="36">
        <f t="shared" si="0"/>
        <v>1</v>
      </c>
    </row>
    <row r="17" spans="1:18" ht="15" customHeight="1" x14ac:dyDescent="0.35">
      <c r="A17" s="44" t="s">
        <v>151</v>
      </c>
      <c r="B17" s="56" t="s">
        <v>60</v>
      </c>
      <c r="C17" s="56" t="s">
        <v>60</v>
      </c>
      <c r="D17" s="56" t="s">
        <v>60</v>
      </c>
      <c r="E17" s="56" t="s">
        <v>60</v>
      </c>
      <c r="F17" s="56" t="s">
        <v>60</v>
      </c>
      <c r="G17" s="56" t="s">
        <v>60</v>
      </c>
      <c r="H17" s="56" t="s">
        <v>60</v>
      </c>
      <c r="I17" s="56" t="s">
        <v>60</v>
      </c>
      <c r="J17" s="56" t="s">
        <v>60</v>
      </c>
      <c r="K17" s="56" t="s">
        <v>60</v>
      </c>
      <c r="L17" s="56" t="s">
        <v>60</v>
      </c>
      <c r="M17" s="56" t="s">
        <v>60</v>
      </c>
      <c r="N17" s="56" t="s">
        <v>60</v>
      </c>
      <c r="O17" s="56" t="s">
        <v>60</v>
      </c>
      <c r="P17" s="56" t="s">
        <v>60</v>
      </c>
      <c r="Q17" s="56">
        <v>1</v>
      </c>
      <c r="R17" s="36">
        <f t="shared" si="0"/>
        <v>1</v>
      </c>
    </row>
    <row r="18" spans="1:18" x14ac:dyDescent="0.35">
      <c r="A18" s="53" t="s">
        <v>103</v>
      </c>
      <c r="B18" s="70">
        <f t="shared" ref="B18:Q18" si="1">ROUND(SUM(B4:B15),2)</f>
        <v>3</v>
      </c>
      <c r="C18" s="70">
        <f t="shared" si="1"/>
        <v>1</v>
      </c>
      <c r="D18" s="70">
        <f t="shared" si="1"/>
        <v>5</v>
      </c>
      <c r="E18" s="70">
        <f t="shared" si="1"/>
        <v>1</v>
      </c>
      <c r="F18" s="70">
        <f t="shared" si="1"/>
        <v>1</v>
      </c>
      <c r="G18" s="70">
        <f t="shared" si="1"/>
        <v>7</v>
      </c>
      <c r="H18" s="70">
        <f t="shared" si="1"/>
        <v>2</v>
      </c>
      <c r="I18" s="70">
        <f t="shared" si="1"/>
        <v>2</v>
      </c>
      <c r="J18" s="70">
        <f t="shared" si="1"/>
        <v>5</v>
      </c>
      <c r="K18" s="70">
        <f t="shared" si="1"/>
        <v>3</v>
      </c>
      <c r="L18" s="70">
        <f t="shared" si="1"/>
        <v>2</v>
      </c>
      <c r="M18" s="70">
        <f t="shared" si="1"/>
        <v>2</v>
      </c>
      <c r="N18" s="70">
        <f t="shared" si="1"/>
        <v>2</v>
      </c>
      <c r="O18" s="70">
        <f t="shared" si="1"/>
        <v>2</v>
      </c>
      <c r="P18" s="70">
        <f t="shared" si="1"/>
        <v>1</v>
      </c>
      <c r="Q18" s="70">
        <f t="shared" si="1"/>
        <v>0</v>
      </c>
      <c r="R18" s="70">
        <f>ROUND(SUM(R4:R17),2)</f>
        <v>41</v>
      </c>
    </row>
    <row r="21" spans="1:18" x14ac:dyDescent="0.35">
      <c r="A21" s="97" t="s">
        <v>157</v>
      </c>
      <c r="B21" s="97"/>
      <c r="C21" s="97"/>
      <c r="D21" s="97"/>
      <c r="E21" s="97"/>
    </row>
    <row r="22" spans="1:18" ht="14.5" customHeight="1" x14ac:dyDescent="0.35">
      <c r="A22" s="94" t="s">
        <v>87</v>
      </c>
      <c r="B22" s="96" t="s">
        <v>95</v>
      </c>
      <c r="C22" s="96"/>
      <c r="D22" s="96"/>
      <c r="E22" s="95" t="s">
        <v>102</v>
      </c>
    </row>
    <row r="23" spans="1:18" ht="25" x14ac:dyDescent="0.35">
      <c r="A23" s="94"/>
      <c r="B23" s="57" t="s">
        <v>158</v>
      </c>
      <c r="C23" s="57" t="s">
        <v>159</v>
      </c>
      <c r="D23" s="57" t="s">
        <v>160</v>
      </c>
      <c r="E23" s="95"/>
    </row>
    <row r="24" spans="1:18" x14ac:dyDescent="0.35">
      <c r="A24" s="34" t="s">
        <v>139</v>
      </c>
      <c r="B24" s="55" t="s">
        <v>60</v>
      </c>
      <c r="C24" s="32" t="s">
        <v>60</v>
      </c>
      <c r="D24" s="55">
        <v>1</v>
      </c>
      <c r="E24" s="36">
        <f t="shared" ref="E24:E37" si="2">ROUND(SUM(B24:D24),2)</f>
        <v>1</v>
      </c>
    </row>
    <row r="25" spans="1:18" x14ac:dyDescent="0.35">
      <c r="A25" s="44" t="s">
        <v>155</v>
      </c>
      <c r="B25" s="56" t="s">
        <v>60</v>
      </c>
      <c r="C25" s="56" t="s">
        <v>60</v>
      </c>
      <c r="D25" s="56">
        <v>2</v>
      </c>
      <c r="E25" s="36">
        <f t="shared" si="2"/>
        <v>2</v>
      </c>
    </row>
    <row r="26" spans="1:18" x14ac:dyDescent="0.35">
      <c r="A26" s="35" t="s">
        <v>140</v>
      </c>
      <c r="B26" s="55" t="s">
        <v>60</v>
      </c>
      <c r="C26" s="55" t="s">
        <v>60</v>
      </c>
      <c r="D26" s="55">
        <v>1</v>
      </c>
      <c r="E26" s="36">
        <f t="shared" si="2"/>
        <v>1</v>
      </c>
    </row>
    <row r="27" spans="1:18" x14ac:dyDescent="0.35">
      <c r="A27" s="42" t="s">
        <v>141</v>
      </c>
      <c r="B27" s="56" t="s">
        <v>60</v>
      </c>
      <c r="C27" s="69">
        <v>16</v>
      </c>
      <c r="D27" s="56" t="s">
        <v>60</v>
      </c>
      <c r="E27" s="36">
        <f t="shared" si="2"/>
        <v>16</v>
      </c>
    </row>
    <row r="28" spans="1:18" x14ac:dyDescent="0.35">
      <c r="A28" s="34" t="s">
        <v>142</v>
      </c>
      <c r="B28" s="55"/>
      <c r="C28" s="55" t="s">
        <v>60</v>
      </c>
      <c r="D28" s="55">
        <v>11</v>
      </c>
      <c r="E28" s="36">
        <f t="shared" si="2"/>
        <v>11</v>
      </c>
    </row>
    <row r="29" spans="1:18" x14ac:dyDescent="0.35">
      <c r="A29" s="44" t="s">
        <v>143</v>
      </c>
      <c r="B29" s="56" t="s">
        <v>60</v>
      </c>
      <c r="C29" s="56" t="s">
        <v>60</v>
      </c>
      <c r="D29" s="56">
        <v>1</v>
      </c>
      <c r="E29" s="36">
        <f t="shared" si="2"/>
        <v>1</v>
      </c>
    </row>
    <row r="30" spans="1:18" x14ac:dyDescent="0.35">
      <c r="A30" s="35" t="s">
        <v>144</v>
      </c>
      <c r="B30" s="55" t="s">
        <v>60</v>
      </c>
      <c r="C30" s="55" t="s">
        <v>60</v>
      </c>
      <c r="D30" s="55">
        <v>1</v>
      </c>
      <c r="E30" s="36">
        <f t="shared" si="2"/>
        <v>1</v>
      </c>
    </row>
    <row r="31" spans="1:18" x14ac:dyDescent="0.35">
      <c r="A31" s="44" t="s">
        <v>145</v>
      </c>
      <c r="B31" s="56" t="s">
        <v>60</v>
      </c>
      <c r="C31" s="56">
        <v>1</v>
      </c>
      <c r="D31" s="56" t="s">
        <v>60</v>
      </c>
      <c r="E31" s="36">
        <f t="shared" si="2"/>
        <v>1</v>
      </c>
    </row>
    <row r="32" spans="1:18" x14ac:dyDescent="0.35">
      <c r="A32" s="34" t="s">
        <v>146</v>
      </c>
      <c r="B32" s="63">
        <v>1</v>
      </c>
      <c r="C32" s="63" t="s">
        <v>60</v>
      </c>
      <c r="D32" s="55"/>
      <c r="E32" s="36">
        <f t="shared" si="2"/>
        <v>1</v>
      </c>
    </row>
    <row r="33" spans="1:5" x14ac:dyDescent="0.35">
      <c r="A33" s="42" t="s">
        <v>147</v>
      </c>
      <c r="B33" s="56" t="s">
        <v>60</v>
      </c>
      <c r="C33" s="56" t="s">
        <v>60</v>
      </c>
      <c r="D33" s="56">
        <v>1</v>
      </c>
      <c r="E33" s="36">
        <f t="shared" si="2"/>
        <v>1</v>
      </c>
    </row>
    <row r="34" spans="1:5" x14ac:dyDescent="0.35">
      <c r="A34" s="35" t="s">
        <v>148</v>
      </c>
      <c r="B34" s="55" t="s">
        <v>60</v>
      </c>
      <c r="C34" s="55">
        <v>2</v>
      </c>
      <c r="D34" s="55" t="s">
        <v>60</v>
      </c>
      <c r="E34" s="36">
        <f t="shared" si="2"/>
        <v>2</v>
      </c>
    </row>
    <row r="35" spans="1:5" x14ac:dyDescent="0.35">
      <c r="A35" s="44" t="s">
        <v>149</v>
      </c>
      <c r="B35" s="69">
        <v>1</v>
      </c>
      <c r="C35" s="69" t="s">
        <v>60</v>
      </c>
      <c r="D35" s="56" t="s">
        <v>60</v>
      </c>
      <c r="E35" s="36">
        <f t="shared" si="2"/>
        <v>1</v>
      </c>
    </row>
    <row r="36" spans="1:5" x14ac:dyDescent="0.35">
      <c r="A36" s="35" t="s">
        <v>150</v>
      </c>
      <c r="B36" s="55" t="s">
        <v>60</v>
      </c>
      <c r="C36" s="55">
        <v>1</v>
      </c>
      <c r="D36" s="55" t="s">
        <v>60</v>
      </c>
      <c r="E36" s="36">
        <f t="shared" si="2"/>
        <v>1</v>
      </c>
    </row>
    <row r="37" spans="1:5" x14ac:dyDescent="0.35">
      <c r="A37" s="44" t="s">
        <v>151</v>
      </c>
      <c r="B37" s="56" t="s">
        <v>60</v>
      </c>
      <c r="C37" s="56" t="s">
        <v>60</v>
      </c>
      <c r="D37" s="56">
        <v>1</v>
      </c>
      <c r="E37" s="36">
        <f t="shared" si="2"/>
        <v>1</v>
      </c>
    </row>
    <row r="38" spans="1:5" x14ac:dyDescent="0.35">
      <c r="A38" s="53" t="s">
        <v>156</v>
      </c>
      <c r="B38" s="70">
        <f t="shared" ref="B38:D38" si="3">ROUND(SUM(B24:B35),2)</f>
        <v>2</v>
      </c>
      <c r="C38" s="70">
        <f t="shared" si="3"/>
        <v>19</v>
      </c>
      <c r="D38" s="70">
        <f t="shared" si="3"/>
        <v>18</v>
      </c>
      <c r="E38" s="70">
        <f>ROUND(SUM(E24:E37),2)</f>
        <v>41</v>
      </c>
    </row>
  </sheetData>
  <sheetProtection algorithmName="SHA-512" hashValue="/rezoBPyt7GvtgayWE3xrJ4juek0iGkedIspd6j1mtU9FlMN+MwQ5AE+fCgWbMwf+3Xxezsjz5GbITsWjSeKkQ==" saltValue="Dth13+g5nH0Hpzxr+gsA7Q==" spinCount="100000" sheet="1" objects="1" scenarios="1"/>
  <mergeCells count="8">
    <mergeCell ref="A22:A23"/>
    <mergeCell ref="E22:E23"/>
    <mergeCell ref="B22:D22"/>
    <mergeCell ref="A21:E21"/>
    <mergeCell ref="A1:R1"/>
    <mergeCell ref="A2:A3"/>
    <mergeCell ref="B2:Q2"/>
    <mergeCell ref="R2:R3"/>
  </mergeCells>
  <pageMargins left="0.23622047244094491" right="0.23622047244094491" top="1.3385826771653544" bottom="0.74803149606299213" header="0.9055118110236221" footer="0.31496062992125984"/>
  <pageSetup scale="55" fitToHeight="0" orientation="landscape" r:id="rId1"/>
  <headerFooter>
    <oddHeader>&amp;C&amp;"Arial Black,Normal"&amp;36COREN-AM&amp;"Arial Black,Regular" &amp;"Arial Black,Normal"&amp;24- Custo de Mão de Obra</oddHeader>
    <oddFooter>&amp;L&amp;"Arial,Normal"&amp;8Rua Tapajós, 350 – Centro, Manaus-AM, 69010-150
Horário: 8h às 16 horas. 
Telefone: (92) 3232-9924
http://www.corenam.gov.br/
e-mail: selic@corenam.gov.br&amp;C&amp;"Arial,Normal"&amp;8Página &amp;P de &amp;N&amp;R&amp;"Arial,Normal"&amp;8SELIC/COREN-AM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9CBDE-31D8-4F53-8B0C-AEBE5AEE9FF9}">
  <sheetPr codeName="Planilha3">
    <pageSetUpPr fitToPage="1"/>
  </sheetPr>
  <dimension ref="A1:F9"/>
  <sheetViews>
    <sheetView view="pageBreakPreview" zoomScaleNormal="100" zoomScaleSheetLayoutView="100" workbookViewId="0">
      <selection activeCell="F13" sqref="F13"/>
    </sheetView>
  </sheetViews>
  <sheetFormatPr defaultRowHeight="14.5" x14ac:dyDescent="0.35"/>
  <cols>
    <col min="1" max="1" width="32.1796875" bestFit="1" customWidth="1"/>
    <col min="2" max="4" width="13.6328125" customWidth="1"/>
    <col min="5" max="5" width="14.453125" customWidth="1"/>
    <col min="6" max="6" width="14.26953125" customWidth="1"/>
  </cols>
  <sheetData>
    <row r="1" spans="1:6" x14ac:dyDescent="0.35">
      <c r="A1" s="101" t="s">
        <v>121</v>
      </c>
      <c r="B1" s="102"/>
      <c r="C1" s="102"/>
      <c r="D1" s="102"/>
      <c r="E1" s="102"/>
      <c r="F1" s="103"/>
    </row>
    <row r="2" spans="1:6" ht="58" customHeight="1" x14ac:dyDescent="0.35">
      <c r="A2" s="31" t="s">
        <v>97</v>
      </c>
      <c r="B2" s="98" t="s">
        <v>104</v>
      </c>
      <c r="C2" s="99"/>
      <c r="D2" s="99"/>
      <c r="E2" s="99"/>
      <c r="F2" s="100"/>
    </row>
    <row r="3" spans="1:6" ht="50" x14ac:dyDescent="0.35">
      <c r="A3" s="58" t="s">
        <v>118</v>
      </c>
      <c r="B3" s="57" t="s">
        <v>197</v>
      </c>
      <c r="C3" s="57" t="s">
        <v>199</v>
      </c>
      <c r="D3" s="57" t="s">
        <v>200</v>
      </c>
      <c r="E3" s="57" t="s">
        <v>202</v>
      </c>
      <c r="F3" s="57" t="s">
        <v>203</v>
      </c>
    </row>
    <row r="4" spans="1:6" ht="15" customHeight="1" x14ac:dyDescent="0.35">
      <c r="A4" s="61" t="e">
        <f>#REF!</f>
        <v>#REF!</v>
      </c>
      <c r="B4" s="55">
        <v>1</v>
      </c>
      <c r="C4" s="32">
        <v>84</v>
      </c>
      <c r="D4" s="32">
        <v>36</v>
      </c>
      <c r="E4" s="32">
        <f>ROUND(SUM(C4:D4),2)</f>
        <v>120</v>
      </c>
      <c r="F4" s="32">
        <f>ROUND(B4*E4,2)</f>
        <v>120</v>
      </c>
    </row>
    <row r="5" spans="1:6" ht="15" customHeight="1" x14ac:dyDescent="0.35">
      <c r="A5" s="68" t="e">
        <f>#REF!</f>
        <v>#REF!</v>
      </c>
      <c r="B5" s="56">
        <v>2</v>
      </c>
      <c r="C5" s="43">
        <v>21</v>
      </c>
      <c r="D5" s="43">
        <v>9</v>
      </c>
      <c r="E5" s="43">
        <f>ROUND(SUM(C5:D5),2)</f>
        <v>30</v>
      </c>
      <c r="F5" s="43">
        <f t="shared" ref="F5" si="0">ROUND(B5*E5,2)</f>
        <v>60</v>
      </c>
    </row>
    <row r="6" spans="1:6" ht="15" customHeight="1" x14ac:dyDescent="0.35">
      <c r="A6" s="61" t="e">
        <f>#REF!</f>
        <v>#REF!</v>
      </c>
      <c r="B6" s="55">
        <v>1</v>
      </c>
      <c r="C6" s="32">
        <v>21</v>
      </c>
      <c r="D6" s="32">
        <v>9</v>
      </c>
      <c r="E6" s="32">
        <f>ROUND(SUM(C6:D6),2)</f>
        <v>30</v>
      </c>
      <c r="F6" s="32">
        <f t="shared" ref="F6" si="1">ROUND(B6*E6,2)</f>
        <v>30</v>
      </c>
    </row>
    <row r="7" spans="1:6" ht="15" customHeight="1" x14ac:dyDescent="0.35">
      <c r="A7" s="68" t="e">
        <f>#REF!</f>
        <v>#REF!</v>
      </c>
      <c r="B7" s="56">
        <v>1</v>
      </c>
      <c r="C7" s="43">
        <v>40</v>
      </c>
      <c r="D7" s="43">
        <v>4</v>
      </c>
      <c r="E7" s="43">
        <f t="shared" ref="E7" si="2">ROUND(SUM(C7:D7),2)</f>
        <v>44</v>
      </c>
      <c r="F7" s="43">
        <f t="shared" ref="F7:F8" si="3">ROUND(B7*E7,2)</f>
        <v>44</v>
      </c>
    </row>
    <row r="8" spans="1:6" ht="15" customHeight="1" x14ac:dyDescent="0.35">
      <c r="A8" s="61" t="e">
        <f>#REF!</f>
        <v>#REF!</v>
      </c>
      <c r="B8" s="55">
        <v>2</v>
      </c>
      <c r="C8" s="32">
        <v>40</v>
      </c>
      <c r="D8" s="32">
        <v>4</v>
      </c>
      <c r="E8" s="32">
        <f>ROUND(SUM(C8:D8),2)</f>
        <v>44</v>
      </c>
      <c r="F8" s="32">
        <f t="shared" si="3"/>
        <v>88</v>
      </c>
    </row>
    <row r="9" spans="1:6" x14ac:dyDescent="0.35">
      <c r="A9" s="72" t="s">
        <v>94</v>
      </c>
      <c r="B9" s="51">
        <f>ROUND(SUM(B3:B8),2)</f>
        <v>7</v>
      </c>
      <c r="C9" s="52">
        <f>ROUND(SUM(C3:C8),2)</f>
        <v>206</v>
      </c>
      <c r="D9" s="52">
        <f>ROUND(SUM(D3:D8),2)</f>
        <v>62</v>
      </c>
      <c r="E9" s="52">
        <f>ROUND(SUM(E3:E8),2)</f>
        <v>268</v>
      </c>
      <c r="F9" s="52">
        <f>ROUND(SUM(F3:F8),2)</f>
        <v>342</v>
      </c>
    </row>
  </sheetData>
  <sheetProtection algorithmName="SHA-512" hashValue="bfIbuZmicQrrfbw6gyTmqVYKHMn5jIYHiQyFUuqxbFUY7FZyYMRKVlBjMTqQ24c3jM7ftPt0TvDrm6462ZiN+w==" saltValue="Psg8r2OwDsVeuSGamtR9tg==" spinCount="100000" sheet="1" objects="1" scenarios="1"/>
  <mergeCells count="2">
    <mergeCell ref="B2:F2"/>
    <mergeCell ref="A1:F1"/>
  </mergeCells>
  <printOptions horizontalCentered="1"/>
  <pageMargins left="0.23622047244094491" right="0.23622047244094491" top="1.5354330708661419" bottom="0.74803149606299213" header="0.9055118110236221" footer="0.31496062992125984"/>
  <pageSetup fitToHeight="0" orientation="landscape" r:id="rId1"/>
  <headerFooter>
    <oddHeader>&amp;C&amp;"Arial Black,Normal"&amp;36COREN-AM&amp;"Arial Black,Regular" &amp;"Arial Black,Normal"&amp;24- Custo de Mão de Obra</oddHeader>
    <oddFooter>&amp;L&amp;"Arial,Normal"&amp;8Rua Tapajós, 350 – Centro, Manaus-AM, 69010-150
Horário: 8h às 16 horas. 
Telefone: (92) 3232-9924
http://www.corenam.gov.br/
e-mail: selic@corenam.gov.br&amp;C&amp;"Arial,Normal"&amp;8Página &amp;P de &amp;N&amp;R&amp;"Arial,Normal"&amp;8SELIC/COREN-AM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5130B-8E29-4FE9-AAFF-91ED0F5EB12B}">
  <sheetPr codeName="Planilha4">
    <pageSetUpPr fitToPage="1"/>
  </sheetPr>
  <dimension ref="A1:E7"/>
  <sheetViews>
    <sheetView view="pageBreakPreview" zoomScaleNormal="100" zoomScaleSheetLayoutView="100" workbookViewId="0">
      <selection activeCell="F13" sqref="F13"/>
    </sheetView>
  </sheetViews>
  <sheetFormatPr defaultRowHeight="14.5" x14ac:dyDescent="0.35"/>
  <cols>
    <col min="1" max="1" width="32.1796875" customWidth="1"/>
    <col min="2" max="2" width="13.6328125" customWidth="1"/>
    <col min="3" max="3" width="10.6328125" customWidth="1"/>
    <col min="4" max="4" width="32.1796875" customWidth="1"/>
    <col min="5" max="5" width="14.453125" customWidth="1"/>
    <col min="6" max="7" width="14.26953125" customWidth="1"/>
    <col min="8" max="8" width="14.6328125" customWidth="1"/>
  </cols>
  <sheetData>
    <row r="1" spans="1:5" x14ac:dyDescent="0.35">
      <c r="A1" s="101" t="s">
        <v>120</v>
      </c>
      <c r="B1" s="103"/>
      <c r="D1" s="101" t="s">
        <v>101</v>
      </c>
      <c r="E1" s="103"/>
    </row>
    <row r="2" spans="1:5" ht="37.5" customHeight="1" x14ac:dyDescent="0.35">
      <c r="A2" s="58" t="s">
        <v>201</v>
      </c>
      <c r="B2" s="57" t="s">
        <v>92</v>
      </c>
      <c r="D2" s="58" t="s">
        <v>201</v>
      </c>
      <c r="E2" s="57" t="s">
        <v>92</v>
      </c>
    </row>
    <row r="3" spans="1:5" x14ac:dyDescent="0.35">
      <c r="A3" s="54" t="s">
        <v>117</v>
      </c>
      <c r="B3" s="32">
        <v>6</v>
      </c>
      <c r="D3" s="54" t="s">
        <v>116</v>
      </c>
      <c r="E3" s="32">
        <v>50</v>
      </c>
    </row>
    <row r="4" spans="1:5" x14ac:dyDescent="0.35">
      <c r="A4" s="53" t="s">
        <v>94</v>
      </c>
      <c r="B4" s="59">
        <f>ROUND(SUM(B3:B3),2)</f>
        <v>6</v>
      </c>
      <c r="D4" s="54" t="s">
        <v>117</v>
      </c>
      <c r="E4" s="32">
        <v>15</v>
      </c>
    </row>
    <row r="5" spans="1:5" x14ac:dyDescent="0.35">
      <c r="D5" s="53" t="s">
        <v>94</v>
      </c>
      <c r="E5" s="59">
        <f>ROUND(SUM(E3:E4),2)</f>
        <v>65</v>
      </c>
    </row>
    <row r="6" spans="1:5" ht="15" customHeight="1" x14ac:dyDescent="0.35">
      <c r="C6" s="62"/>
    </row>
    <row r="7" spans="1:5" ht="26.5" customHeight="1" x14ac:dyDescent="0.35"/>
  </sheetData>
  <sheetProtection algorithmName="SHA-512" hashValue="pJKzmgoRfeRN7BRM/ESt0tLaHMlUZ49qD0jHHL5ODkfCKUsuvAafQTFD6aC7iWQP5OO91SGWEYC7tvnC7n7wTA==" saltValue="S+PKUeIYnRewNjz/NDwZGw==" spinCount="100000" sheet="1" objects="1" scenarios="1"/>
  <mergeCells count="2">
    <mergeCell ref="A1:B1"/>
    <mergeCell ref="D1:E1"/>
  </mergeCells>
  <printOptions horizontalCentered="1"/>
  <pageMargins left="0.23622047244094491" right="0.23622047244094491" top="1.5354330708661419" bottom="0.74803149606299213" header="0.9055118110236221" footer="0.31496062992125984"/>
  <pageSetup fitToHeight="0" orientation="landscape" r:id="rId1"/>
  <headerFooter>
    <oddHeader>&amp;C&amp;"Arial Black,Normal"&amp;36COREN-AM&amp;"Arial Black,Regular" &amp;"Arial Black,Normal"&amp;24- Custo de Mão de Obra</oddHeader>
    <oddFooter>&amp;L&amp;"Arial,Normal"&amp;8Rua Tapajós, 350 – Centro, Manaus-AM, 69010-150
Horário: 8h às 16 horas. 
Telefone: (92) 3232-9924
http://www.corenam.gov.br/
e-mail: selic@corenam.gov.br&amp;C&amp;"Arial,Normal"&amp;8Página &amp;P de &amp;N&amp;R&amp;"Arial,Normal"&amp;8SELIC/COREN-AM</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03D97-BA96-429A-B89E-8E2B69A80D9B}">
  <sheetPr>
    <pageSetUpPr fitToPage="1"/>
  </sheetPr>
  <dimension ref="A1:I35"/>
  <sheetViews>
    <sheetView tabSelected="1" view="pageBreakPreview" zoomScaleNormal="100" zoomScaleSheetLayoutView="100" workbookViewId="0">
      <selection activeCell="H11" sqref="H11"/>
    </sheetView>
  </sheetViews>
  <sheetFormatPr defaultRowHeight="14.5" x14ac:dyDescent="0.35"/>
  <cols>
    <col min="1" max="1" width="6.36328125" customWidth="1"/>
    <col min="2" max="2" width="10.6328125" customWidth="1"/>
    <col min="3" max="3" width="11.453125" customWidth="1"/>
    <col min="4" max="4" width="11.54296875" customWidth="1"/>
    <col min="6" max="6" width="11.08984375" customWidth="1"/>
    <col min="7" max="7" width="11" customWidth="1"/>
    <col min="8" max="8" width="13.7265625" customWidth="1"/>
    <col min="9" max="9" width="13.1796875" customWidth="1"/>
  </cols>
  <sheetData>
    <row r="1" spans="1:9" x14ac:dyDescent="0.35">
      <c r="A1" s="197" t="s">
        <v>256</v>
      </c>
      <c r="B1" s="196"/>
      <c r="C1" s="209" t="s">
        <v>255</v>
      </c>
      <c r="D1" s="209"/>
      <c r="E1" s="209"/>
      <c r="F1" s="209"/>
      <c r="G1" s="209"/>
      <c r="H1" s="209"/>
      <c r="I1" s="208"/>
    </row>
    <row r="2" spans="1:9" x14ac:dyDescent="0.35">
      <c r="A2" s="207" t="s">
        <v>254</v>
      </c>
      <c r="B2" s="206"/>
      <c r="C2" s="199"/>
      <c r="D2" s="199"/>
      <c r="E2" s="199"/>
      <c r="F2" s="199"/>
      <c r="G2" s="199"/>
      <c r="H2" s="199"/>
      <c r="I2" s="198"/>
    </row>
    <row r="3" spans="1:9" x14ac:dyDescent="0.35">
      <c r="A3" s="197" t="s">
        <v>253</v>
      </c>
      <c r="B3" s="196"/>
      <c r="C3" s="199"/>
      <c r="D3" s="199"/>
      <c r="E3" s="199"/>
      <c r="F3" s="199"/>
      <c r="G3" s="199"/>
      <c r="H3" s="199"/>
      <c r="I3" s="198"/>
    </row>
    <row r="4" spans="1:9" x14ac:dyDescent="0.35">
      <c r="A4" s="201" t="s">
        <v>252</v>
      </c>
      <c r="B4" s="200"/>
      <c r="C4" s="200"/>
      <c r="D4" s="200"/>
      <c r="E4" s="200"/>
      <c r="F4" s="195" t="s">
        <v>251</v>
      </c>
      <c r="G4" s="195"/>
      <c r="H4" s="205"/>
      <c r="I4" s="204"/>
    </row>
    <row r="5" spans="1:9" x14ac:dyDescent="0.35">
      <c r="A5" s="197" t="s">
        <v>250</v>
      </c>
      <c r="B5" s="196"/>
      <c r="C5" s="199"/>
      <c r="D5" s="199"/>
      <c r="E5" s="199"/>
      <c r="F5" s="199"/>
      <c r="G5" s="199"/>
      <c r="H5" s="199"/>
      <c r="I5" s="198"/>
    </row>
    <row r="6" spans="1:9" x14ac:dyDescent="0.35">
      <c r="A6" s="201" t="s">
        <v>249</v>
      </c>
      <c r="B6" s="200"/>
      <c r="C6" s="200"/>
      <c r="D6" s="200"/>
      <c r="E6" s="200"/>
      <c r="F6" s="202" t="s">
        <v>248</v>
      </c>
      <c r="G6" s="199"/>
      <c r="H6" s="199"/>
      <c r="I6" s="198"/>
    </row>
    <row r="7" spans="1:9" x14ac:dyDescent="0.35">
      <c r="A7" s="203" t="s">
        <v>247</v>
      </c>
      <c r="B7" s="200"/>
      <c r="C7" s="200"/>
      <c r="D7" s="200"/>
      <c r="E7" s="200"/>
      <c r="F7" s="202" t="s">
        <v>246</v>
      </c>
      <c r="G7" s="199"/>
      <c r="H7" s="199"/>
      <c r="I7" s="198"/>
    </row>
    <row r="8" spans="1:9" x14ac:dyDescent="0.35">
      <c r="A8" s="197" t="s">
        <v>245</v>
      </c>
      <c r="B8" s="196"/>
      <c r="C8" s="199"/>
      <c r="D8" s="199"/>
      <c r="E8" s="199"/>
      <c r="F8" s="202" t="s">
        <v>244</v>
      </c>
      <c r="G8" s="199"/>
      <c r="H8" s="199"/>
      <c r="I8" s="198"/>
    </row>
    <row r="9" spans="1:9" x14ac:dyDescent="0.35">
      <c r="A9" s="201" t="s">
        <v>243</v>
      </c>
      <c r="B9" s="200"/>
      <c r="C9" s="200"/>
      <c r="D9" s="200"/>
      <c r="E9" s="193" t="s">
        <v>242</v>
      </c>
      <c r="F9" s="193"/>
      <c r="G9" s="199"/>
      <c r="H9" s="199"/>
      <c r="I9" s="198"/>
    </row>
    <row r="10" spans="1:9" x14ac:dyDescent="0.35">
      <c r="A10" s="197" t="s">
        <v>241</v>
      </c>
      <c r="B10" s="196"/>
      <c r="C10" s="196"/>
      <c r="D10" s="194"/>
      <c r="E10" s="195" t="s">
        <v>240</v>
      </c>
      <c r="F10" s="195"/>
      <c r="G10" s="194"/>
      <c r="H10" s="193" t="s">
        <v>239</v>
      </c>
      <c r="I10" s="192"/>
    </row>
    <row r="11" spans="1:9" ht="10" customHeight="1" x14ac:dyDescent="0.35">
      <c r="A11" s="20"/>
      <c r="B11" s="20"/>
      <c r="C11" s="20"/>
      <c r="D11" s="20"/>
      <c r="E11" s="20"/>
      <c r="F11" s="20"/>
      <c r="G11" s="20"/>
      <c r="H11" s="20"/>
      <c r="I11" s="20"/>
    </row>
    <row r="12" spans="1:9" x14ac:dyDescent="0.35">
      <c r="A12" s="191" t="s">
        <v>238</v>
      </c>
      <c r="B12" s="191"/>
      <c r="C12" s="191"/>
      <c r="D12" s="191"/>
      <c r="E12" s="191"/>
      <c r="F12" s="191"/>
      <c r="G12" s="191"/>
      <c r="H12" s="191"/>
      <c r="I12" s="191"/>
    </row>
    <row r="13" spans="1:9" ht="61" customHeight="1" x14ac:dyDescent="0.35">
      <c r="A13" s="179" t="s">
        <v>257</v>
      </c>
      <c r="B13" s="179"/>
      <c r="C13" s="179"/>
      <c r="D13" s="179"/>
      <c r="E13" s="179"/>
      <c r="F13" s="179"/>
      <c r="G13" s="179"/>
      <c r="H13" s="179"/>
      <c r="I13" s="179"/>
    </row>
    <row r="14" spans="1:9" ht="10" customHeight="1" x14ac:dyDescent="0.35">
      <c r="A14" s="190"/>
      <c r="B14" s="190"/>
      <c r="C14" s="190"/>
      <c r="D14" s="190"/>
      <c r="E14" s="190"/>
      <c r="F14" s="190"/>
      <c r="G14" s="190"/>
      <c r="H14" s="190"/>
      <c r="I14" s="190"/>
    </row>
    <row r="15" spans="1:9" ht="15" customHeight="1" x14ac:dyDescent="0.35">
      <c r="A15" s="189" t="s">
        <v>237</v>
      </c>
      <c r="B15" s="189"/>
      <c r="C15" s="189"/>
      <c r="D15" s="189"/>
      <c r="E15" s="189"/>
      <c r="F15" s="189"/>
      <c r="G15" s="189"/>
      <c r="H15" s="189"/>
      <c r="I15" s="189"/>
    </row>
    <row r="16" spans="1:9" ht="26.5" customHeight="1" x14ac:dyDescent="0.35">
      <c r="A16" s="179" t="s">
        <v>236</v>
      </c>
      <c r="B16" s="179"/>
      <c r="C16" s="179"/>
      <c r="D16" s="179"/>
      <c r="E16" s="179"/>
      <c r="F16" s="179"/>
      <c r="G16" s="179"/>
      <c r="H16" s="179"/>
      <c r="I16" s="179"/>
    </row>
    <row r="17" spans="1:9" ht="6.5" customHeight="1" x14ac:dyDescent="0.35">
      <c r="A17" s="188"/>
      <c r="B17" s="188"/>
      <c r="C17" s="188"/>
      <c r="D17" s="188"/>
      <c r="E17" s="188"/>
      <c r="F17" s="188"/>
      <c r="G17" s="188"/>
      <c r="H17" s="188"/>
      <c r="I17" s="188"/>
    </row>
    <row r="18" spans="1:9" ht="25" customHeight="1" x14ac:dyDescent="0.35">
      <c r="A18" s="187" t="s">
        <v>235</v>
      </c>
      <c r="B18" s="187"/>
      <c r="C18" s="187"/>
      <c r="D18" s="187"/>
      <c r="E18" s="187"/>
      <c r="F18" s="187"/>
      <c r="G18" s="187"/>
      <c r="H18" s="187"/>
      <c r="I18" s="187"/>
    </row>
    <row r="19" spans="1:9" ht="15" customHeight="1" x14ac:dyDescent="0.35">
      <c r="A19" s="186" t="s">
        <v>59</v>
      </c>
      <c r="B19" s="185" t="s">
        <v>165</v>
      </c>
      <c r="C19" s="185"/>
      <c r="D19" s="185"/>
      <c r="E19" s="185"/>
      <c r="F19" s="185" t="s">
        <v>234</v>
      </c>
      <c r="G19" s="185"/>
      <c r="H19" s="185" t="s">
        <v>233</v>
      </c>
      <c r="I19" s="185"/>
    </row>
    <row r="20" spans="1:9" ht="15" customHeight="1" x14ac:dyDescent="0.35">
      <c r="A20" s="15">
        <v>1</v>
      </c>
      <c r="B20" s="184" t="s">
        <v>232</v>
      </c>
      <c r="C20" s="184"/>
      <c r="D20" s="184"/>
      <c r="E20" s="184"/>
      <c r="F20" s="183">
        <f>'Quadro Geral de Custo'!F12:F12</f>
        <v>8036.12</v>
      </c>
      <c r="G20" s="183"/>
      <c r="H20" s="183">
        <f>'Quadro Geral de Custo'!F13:F13</f>
        <v>96433.44</v>
      </c>
      <c r="I20" s="183"/>
    </row>
    <row r="21" spans="1:9" ht="15" customHeight="1" x14ac:dyDescent="0.35">
      <c r="A21" s="182" t="s">
        <v>231</v>
      </c>
      <c r="B21" s="182"/>
      <c r="C21" s="182"/>
      <c r="D21" s="182"/>
      <c r="E21" s="182"/>
      <c r="F21" s="182"/>
      <c r="G21" s="182"/>
      <c r="H21" s="181">
        <f>ROUND(SUM(H20:I20),2)</f>
        <v>96433.44</v>
      </c>
      <c r="I21" s="181"/>
    </row>
    <row r="22" spans="1:9" ht="10" customHeight="1" x14ac:dyDescent="0.35">
      <c r="A22" s="20"/>
      <c r="B22" s="20"/>
      <c r="C22" s="20"/>
      <c r="D22" s="20"/>
      <c r="E22" s="20"/>
      <c r="F22" s="20"/>
      <c r="G22" s="20"/>
      <c r="H22" s="20"/>
      <c r="I22" s="20"/>
    </row>
    <row r="23" spans="1:9" ht="19" customHeight="1" x14ac:dyDescent="0.35">
      <c r="A23" s="180" t="s">
        <v>230</v>
      </c>
      <c r="B23" s="180"/>
      <c r="C23" s="180"/>
      <c r="D23" s="180"/>
      <c r="E23" s="180"/>
      <c r="F23" s="180"/>
      <c r="G23" s="180"/>
      <c r="H23" s="180"/>
      <c r="I23" s="180"/>
    </row>
    <row r="24" spans="1:9" ht="43.5" customHeight="1" x14ac:dyDescent="0.35">
      <c r="A24" s="179" t="s">
        <v>229</v>
      </c>
      <c r="B24" s="179"/>
      <c r="C24" s="179"/>
      <c r="D24" s="179"/>
      <c r="E24" s="179"/>
      <c r="F24" s="179"/>
      <c r="G24" s="179"/>
      <c r="H24" s="179"/>
      <c r="I24" s="179"/>
    </row>
    <row r="25" spans="1:9" ht="30" customHeight="1" x14ac:dyDescent="0.35">
      <c r="A25" s="179" t="s">
        <v>228</v>
      </c>
      <c r="B25" s="179"/>
      <c r="C25" s="179"/>
      <c r="D25" s="179"/>
      <c r="E25" s="179"/>
      <c r="F25" s="179"/>
      <c r="G25" s="179"/>
      <c r="H25" s="179"/>
      <c r="I25" s="179"/>
    </row>
    <row r="26" spans="1:9" ht="30" customHeight="1" x14ac:dyDescent="0.35">
      <c r="A26" s="178" t="s">
        <v>227</v>
      </c>
      <c r="B26" s="178"/>
      <c r="C26" s="178"/>
      <c r="D26" s="178"/>
      <c r="E26" s="178"/>
      <c r="F26" s="178"/>
      <c r="G26" s="178"/>
      <c r="H26" s="178"/>
      <c r="I26" s="178"/>
    </row>
    <row r="27" spans="1:9" ht="10" customHeight="1" x14ac:dyDescent="0.35">
      <c r="A27" s="20"/>
      <c r="B27" s="20"/>
      <c r="C27" s="20"/>
      <c r="D27" s="20"/>
      <c r="E27" s="20"/>
      <c r="F27" s="20"/>
      <c r="G27" s="20"/>
      <c r="H27" s="20"/>
      <c r="I27" s="20"/>
    </row>
    <row r="28" spans="1:9" x14ac:dyDescent="0.35">
      <c r="A28" s="172" t="s">
        <v>226</v>
      </c>
      <c r="B28" s="172"/>
      <c r="C28" s="172"/>
      <c r="D28" s="177">
        <f>H21</f>
        <v>96433.44</v>
      </c>
      <c r="E28" s="177"/>
      <c r="F28" s="169" t="s">
        <v>225</v>
      </c>
      <c r="G28" s="169"/>
      <c r="H28" s="169"/>
      <c r="I28" s="169"/>
    </row>
    <row r="29" spans="1:9" ht="10" customHeight="1" x14ac:dyDescent="0.35">
      <c r="A29" s="20"/>
      <c r="B29" s="20"/>
      <c r="C29" s="20"/>
      <c r="D29" s="20"/>
      <c r="E29" s="20"/>
      <c r="F29" s="20"/>
      <c r="G29" s="20"/>
      <c r="H29" s="20"/>
      <c r="I29" s="20"/>
    </row>
    <row r="30" spans="1:9" ht="10" customHeight="1" x14ac:dyDescent="0.35">
      <c r="A30" s="20"/>
      <c r="B30" s="20"/>
      <c r="C30" s="20"/>
      <c r="D30" s="20"/>
      <c r="E30" s="20"/>
      <c r="F30" s="20"/>
      <c r="G30" s="20"/>
      <c r="H30" s="20"/>
      <c r="I30" s="20"/>
    </row>
    <row r="31" spans="1:9" x14ac:dyDescent="0.35">
      <c r="A31" s="20"/>
      <c r="B31" s="20"/>
      <c r="C31" s="20"/>
      <c r="D31" s="20"/>
      <c r="E31" s="176" t="s">
        <v>224</v>
      </c>
      <c r="F31" s="175"/>
      <c r="G31" s="174">
        <f ca="1">TODAY()</f>
        <v>44995</v>
      </c>
      <c r="H31" s="174"/>
      <c r="I31" s="173"/>
    </row>
    <row r="32" spans="1:9" x14ac:dyDescent="0.35">
      <c r="A32" s="20"/>
      <c r="B32" s="20"/>
      <c r="C32" s="20"/>
      <c r="D32" s="20"/>
      <c r="E32" s="20"/>
      <c r="F32" s="20"/>
      <c r="G32" s="20"/>
      <c r="H32" s="20"/>
      <c r="I32" s="20"/>
    </row>
    <row r="33" spans="1:9" x14ac:dyDescent="0.35">
      <c r="A33" s="172" t="s">
        <v>223</v>
      </c>
      <c r="B33" s="172"/>
      <c r="C33" s="171"/>
      <c r="D33" s="171"/>
      <c r="E33" s="171"/>
      <c r="F33" s="20"/>
      <c r="G33" s="20"/>
      <c r="H33" s="20"/>
      <c r="I33" s="20"/>
    </row>
    <row r="34" spans="1:9" x14ac:dyDescent="0.35">
      <c r="A34" s="170"/>
      <c r="B34" s="170"/>
      <c r="C34" s="169" t="s">
        <v>222</v>
      </c>
      <c r="D34" s="169"/>
      <c r="E34" s="169"/>
      <c r="F34" s="20"/>
      <c r="G34" s="20"/>
      <c r="H34" s="20"/>
      <c r="I34" s="20"/>
    </row>
    <row r="35" spans="1:9" x14ac:dyDescent="0.35">
      <c r="A35" s="20"/>
      <c r="B35" s="20"/>
      <c r="C35" s="169" t="s">
        <v>221</v>
      </c>
      <c r="D35" s="169"/>
      <c r="E35" s="169"/>
      <c r="F35" s="20"/>
      <c r="G35" s="20"/>
      <c r="H35" s="20"/>
      <c r="I35" s="20"/>
    </row>
  </sheetData>
  <mergeCells count="48">
    <mergeCell ref="B19:E19"/>
    <mergeCell ref="A18:I18"/>
    <mergeCell ref="C35:E35"/>
    <mergeCell ref="A28:C28"/>
    <mergeCell ref="D28:E28"/>
    <mergeCell ref="F28:I28"/>
    <mergeCell ref="A33:B33"/>
    <mergeCell ref="C33:E33"/>
    <mergeCell ref="E31:F31"/>
    <mergeCell ref="G31:I31"/>
    <mergeCell ref="H20:I20"/>
    <mergeCell ref="F20:G20"/>
    <mergeCell ref="B20:E20"/>
    <mergeCell ref="A21:G21"/>
    <mergeCell ref="H21:I21"/>
    <mergeCell ref="A12:I12"/>
    <mergeCell ref="A13:I13"/>
    <mergeCell ref="A15:I15"/>
    <mergeCell ref="A16:I16"/>
    <mergeCell ref="F19:G19"/>
    <mergeCell ref="G9:I9"/>
    <mergeCell ref="B9:D9"/>
    <mergeCell ref="C34:E34"/>
    <mergeCell ref="A23:I23"/>
    <mergeCell ref="A24:I24"/>
    <mergeCell ref="A25:I25"/>
    <mergeCell ref="A26:I26"/>
    <mergeCell ref="A10:C10"/>
    <mergeCell ref="E10:F10"/>
    <mergeCell ref="H19:I19"/>
    <mergeCell ref="G7:I7"/>
    <mergeCell ref="G8:I8"/>
    <mergeCell ref="H4:I4"/>
    <mergeCell ref="C8:E8"/>
    <mergeCell ref="B4:E4"/>
    <mergeCell ref="B6:E6"/>
    <mergeCell ref="B7:E7"/>
    <mergeCell ref="G6:I6"/>
    <mergeCell ref="A8:B8"/>
    <mergeCell ref="A1:B1"/>
    <mergeCell ref="C1:I1"/>
    <mergeCell ref="A2:B2"/>
    <mergeCell ref="A3:B3"/>
    <mergeCell ref="A5:B5"/>
    <mergeCell ref="C2:I2"/>
    <mergeCell ref="C3:I3"/>
    <mergeCell ref="F4:G4"/>
    <mergeCell ref="C5:I5"/>
  </mergeCells>
  <pageMargins left="0.51181102362204722" right="0.51181102362204722" top="0.78740157480314965" bottom="0.78740157480314965" header="0.31496062992125984" footer="0.31496062992125984"/>
  <pageSetup paperSize="9" scale="94" fitToHeight="0" orientation="portrait" r:id="rId1"/>
  <headerFooter>
    <oddFooter>&amp;CPágina &amp;P de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5" r:id="rId4" name="Check Box 5">
              <controlPr defaultSize="0" autoFill="0" autoLine="0" autoPict="0">
                <anchor moveWithCells="1">
                  <from>
                    <xdr:col>7</xdr:col>
                    <xdr:colOff>0</xdr:colOff>
                    <xdr:row>3</xdr:row>
                    <xdr:rowOff>12700</xdr:rowOff>
                  </from>
                  <to>
                    <xdr:col>7</xdr:col>
                    <xdr:colOff>774700</xdr:colOff>
                    <xdr:row>4</xdr:row>
                    <xdr:rowOff>0</xdr:rowOff>
                  </to>
                </anchor>
              </controlPr>
            </control>
          </mc:Choice>
        </mc:AlternateContent>
        <mc:AlternateContent xmlns:mc="http://schemas.openxmlformats.org/markup-compatibility/2006">
          <mc:Choice Requires="x14">
            <control shapeId="10246" r:id="rId5" name="Check Box 6">
              <controlPr defaultSize="0" autoFill="0" autoLine="0" autoPict="0">
                <anchor moveWithCells="1">
                  <from>
                    <xdr:col>7</xdr:col>
                    <xdr:colOff>793750</xdr:colOff>
                    <xdr:row>3</xdr:row>
                    <xdr:rowOff>6350</xdr:rowOff>
                  </from>
                  <to>
                    <xdr:col>9</xdr:col>
                    <xdr:colOff>12700</xdr:colOff>
                    <xdr:row>3</xdr:row>
                    <xdr:rowOff>171450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990EA-80D4-4F73-9300-7B98F1CC0A8A}">
  <sheetPr codeName="Planilha5">
    <pageSetUpPr fitToPage="1"/>
  </sheetPr>
  <dimension ref="A1:I19"/>
  <sheetViews>
    <sheetView view="pageBreakPreview" zoomScaleNormal="100" zoomScaleSheetLayoutView="100" workbookViewId="0">
      <selection activeCell="A13" sqref="A13:I13"/>
    </sheetView>
  </sheetViews>
  <sheetFormatPr defaultRowHeight="14.5" x14ac:dyDescent="0.35"/>
  <cols>
    <col min="2" max="2" width="32.1796875" bestFit="1" customWidth="1"/>
    <col min="3" max="4" width="13.6328125" customWidth="1"/>
    <col min="5" max="8" width="15.6328125" customWidth="1"/>
    <col min="9" max="9" width="14.6328125" customWidth="1"/>
  </cols>
  <sheetData>
    <row r="1" spans="1:8" ht="15.5" thickTop="1" thickBot="1" x14ac:dyDescent="0.4">
      <c r="A1" s="104" t="s">
        <v>122</v>
      </c>
      <c r="B1" s="104"/>
      <c r="C1" s="104"/>
      <c r="D1" s="104"/>
      <c r="E1" s="104"/>
      <c r="F1" s="104"/>
      <c r="G1" s="104"/>
      <c r="H1" s="104"/>
    </row>
    <row r="2" spans="1:8" ht="15.5" customHeight="1" thickTop="1" thickBot="1" x14ac:dyDescent="0.4">
      <c r="A2" s="71" t="s">
        <v>68</v>
      </c>
      <c r="B2" s="105" t="s">
        <v>189</v>
      </c>
      <c r="C2" s="105"/>
      <c r="D2" s="106"/>
      <c r="E2" s="106"/>
      <c r="F2" s="106"/>
      <c r="G2" s="106"/>
      <c r="H2" s="106"/>
    </row>
    <row r="3" spans="1:8" ht="38" customHeight="1" thickTop="1" thickBot="1" x14ac:dyDescent="0.4">
      <c r="A3" s="92" t="s">
        <v>65</v>
      </c>
      <c r="B3" s="108" t="s">
        <v>118</v>
      </c>
      <c r="C3" s="108"/>
      <c r="D3" s="93" t="s">
        <v>173</v>
      </c>
      <c r="E3" s="91" t="s">
        <v>67</v>
      </c>
      <c r="F3" s="91" t="s">
        <v>124</v>
      </c>
      <c r="G3" s="91" t="s">
        <v>125</v>
      </c>
      <c r="H3" s="91" t="s">
        <v>126</v>
      </c>
    </row>
    <row r="4" spans="1:8" ht="15.5" thickTop="1" thickBot="1" x14ac:dyDescent="0.4">
      <c r="A4" s="73" t="s">
        <v>123</v>
      </c>
      <c r="B4" s="109" t="str">
        <f>'Agente de Portaria'!B2:D2</f>
        <v>Agente de Portaria</v>
      </c>
      <c r="C4" s="109"/>
      <c r="D4" s="74">
        <v>2</v>
      </c>
      <c r="E4" s="65">
        <f>'Agente de Portaria'!D90</f>
        <v>3969.31</v>
      </c>
      <c r="F4" s="65">
        <f>ROUND(D4*E4,2)</f>
        <v>7938.62</v>
      </c>
      <c r="G4" s="65">
        <f>ROUND(F4*12,2)</f>
        <v>95263.44</v>
      </c>
      <c r="H4" s="65">
        <f>ROUND(G4*2,2)</f>
        <v>190526.88</v>
      </c>
    </row>
    <row r="5" spans="1:8" ht="15.5" thickTop="1" thickBot="1" x14ac:dyDescent="0.4">
      <c r="A5" s="107" t="s">
        <v>196</v>
      </c>
      <c r="B5" s="107"/>
      <c r="C5" s="107"/>
      <c r="D5" s="66">
        <f>ROUND(SUM(D4:D4),2)</f>
        <v>2</v>
      </c>
      <c r="E5" s="67">
        <f>ROUND(SUM(E4:E4),2)</f>
        <v>3969.31</v>
      </c>
      <c r="F5" s="67">
        <f>ROUND(SUM(F4:F4),2)</f>
        <v>7938.62</v>
      </c>
      <c r="G5" s="67">
        <f>ROUND(SUM(G4:G4),2)</f>
        <v>95263.44</v>
      </c>
      <c r="H5" s="67">
        <f>ROUND(SUM(H4:H4),2)</f>
        <v>190526.88</v>
      </c>
    </row>
    <row r="6" spans="1:8" ht="8" customHeight="1" thickTop="1" thickBot="1" x14ac:dyDescent="0.4"/>
    <row r="7" spans="1:8" ht="26" customHeight="1" thickTop="1" thickBot="1" x14ac:dyDescent="0.4">
      <c r="A7" s="71" t="s">
        <v>185</v>
      </c>
      <c r="B7" s="108" t="s">
        <v>75</v>
      </c>
      <c r="C7" s="108"/>
      <c r="D7" s="108"/>
      <c r="E7" s="108"/>
      <c r="F7" s="91" t="s">
        <v>192</v>
      </c>
      <c r="G7" s="91" t="s">
        <v>193</v>
      </c>
      <c r="H7" s="91" t="s">
        <v>194</v>
      </c>
    </row>
    <row r="8" spans="1:8" ht="15.5" thickTop="1" thickBot="1" x14ac:dyDescent="0.4">
      <c r="A8" s="64" t="s">
        <v>186</v>
      </c>
      <c r="B8" s="110" t="s">
        <v>76</v>
      </c>
      <c r="C8" s="110"/>
      <c r="D8" s="110"/>
      <c r="E8" s="110"/>
      <c r="F8" s="65">
        <f>'Previsão de Hora-Extra'!F13</f>
        <v>97.5</v>
      </c>
      <c r="G8" s="65">
        <f>ROUND(F8*12,2)</f>
        <v>1170</v>
      </c>
      <c r="H8" s="65">
        <f>ROUND(G8*2,2)</f>
        <v>2340</v>
      </c>
    </row>
    <row r="9" spans="1:8" ht="15.5" thickTop="1" thickBot="1" x14ac:dyDescent="0.4">
      <c r="A9" s="107" t="s">
        <v>195</v>
      </c>
      <c r="B9" s="107"/>
      <c r="C9" s="107"/>
      <c r="D9" s="107"/>
      <c r="E9" s="107"/>
      <c r="F9" s="67">
        <f>ROUND(SUM(F8:F8),2)</f>
        <v>97.5</v>
      </c>
      <c r="G9" s="67">
        <f>ROUND(SUM(G8:G8),2)</f>
        <v>1170</v>
      </c>
      <c r="H9" s="67">
        <f>ROUND(SUM(H8:H8),2)</f>
        <v>2340</v>
      </c>
    </row>
    <row r="10" spans="1:8" ht="8" customHeight="1" thickTop="1" thickBot="1" x14ac:dyDescent="0.4"/>
    <row r="11" spans="1:8" ht="15.5" customHeight="1" thickTop="1" thickBot="1" x14ac:dyDescent="0.4">
      <c r="A11" s="108" t="s">
        <v>190</v>
      </c>
      <c r="B11" s="108"/>
      <c r="C11" s="108"/>
      <c r="D11" s="108"/>
      <c r="E11" s="108"/>
      <c r="F11" s="108"/>
      <c r="G11" s="108"/>
      <c r="H11" s="108"/>
    </row>
    <row r="12" spans="1:8" ht="15.5" thickTop="1" thickBot="1" x14ac:dyDescent="0.4">
      <c r="A12" s="107" t="s">
        <v>191</v>
      </c>
      <c r="B12" s="107"/>
      <c r="C12" s="107"/>
      <c r="D12" s="107"/>
      <c r="E12" s="107"/>
      <c r="F12" s="112">
        <f>ROUND(F5+F9,2)</f>
        <v>8036.12</v>
      </c>
      <c r="G12" s="113"/>
      <c r="H12" s="113"/>
    </row>
    <row r="13" spans="1:8" ht="15.5" thickTop="1" thickBot="1" x14ac:dyDescent="0.4">
      <c r="A13" s="107" t="s">
        <v>100</v>
      </c>
      <c r="B13" s="107"/>
      <c r="C13" s="107"/>
      <c r="D13" s="107"/>
      <c r="E13" s="107"/>
      <c r="F13" s="112">
        <f>ROUND(F12*12,2)</f>
        <v>96433.44</v>
      </c>
      <c r="G13" s="112"/>
      <c r="H13" s="112"/>
    </row>
    <row r="14" spans="1:8" ht="15.5" thickTop="1" thickBot="1" x14ac:dyDescent="0.4">
      <c r="A14" s="107" t="s">
        <v>138</v>
      </c>
      <c r="B14" s="107"/>
      <c r="C14" s="107"/>
      <c r="D14" s="107"/>
      <c r="E14" s="107"/>
      <c r="F14" s="112">
        <f>ROUND(F12*24,2)</f>
        <v>192866.88</v>
      </c>
      <c r="G14" s="112"/>
      <c r="H14" s="112"/>
    </row>
    <row r="15" spans="1:8" ht="5" customHeight="1" thickTop="1" x14ac:dyDescent="0.35"/>
    <row r="16" spans="1:8" ht="15" customHeight="1" thickBot="1" x14ac:dyDescent="0.4"/>
    <row r="17" spans="1:9" ht="15.5" thickTop="1" thickBot="1" x14ac:dyDescent="0.4">
      <c r="F17" s="111">
        <f ca="1">TODAY()</f>
        <v>44995</v>
      </c>
      <c r="G17" s="111"/>
      <c r="H17" s="111"/>
    </row>
    <row r="18" spans="1:9" ht="15" thickTop="1" x14ac:dyDescent="0.35">
      <c r="A18" s="20"/>
      <c r="B18" s="20"/>
      <c r="C18" s="20"/>
      <c r="F18" s="89"/>
      <c r="G18" s="20"/>
      <c r="H18" s="20"/>
      <c r="I18" s="20"/>
    </row>
    <row r="19" spans="1:9" x14ac:dyDescent="0.35">
      <c r="A19" s="20"/>
      <c r="B19" s="20"/>
      <c r="C19" s="20"/>
      <c r="F19" s="90"/>
      <c r="G19" s="20"/>
      <c r="H19" s="20"/>
      <c r="I19" s="20"/>
    </row>
  </sheetData>
  <mergeCells count="16">
    <mergeCell ref="B7:E7"/>
    <mergeCell ref="B8:E8"/>
    <mergeCell ref="A9:E9"/>
    <mergeCell ref="A11:H11"/>
    <mergeCell ref="F17:H17"/>
    <mergeCell ref="A12:E12"/>
    <mergeCell ref="A13:E13"/>
    <mergeCell ref="A14:E14"/>
    <mergeCell ref="F12:H12"/>
    <mergeCell ref="F14:H14"/>
    <mergeCell ref="F13:H13"/>
    <mergeCell ref="A1:H1"/>
    <mergeCell ref="B2:H2"/>
    <mergeCell ref="A5:C5"/>
    <mergeCell ref="B3:C3"/>
    <mergeCell ref="B4:C4"/>
  </mergeCells>
  <pageMargins left="0.51181102362204722" right="0.51181102362204722" top="0.78740157480314965" bottom="0.78740157480314965" header="0.31496062992125984" footer="0.31496062992125984"/>
  <pageSetup paperSize="9" scale="70" fitToHeight="0" orientation="portrait" r:id="rId1"/>
  <headerFooter>
    <oddFooter>&amp;CPágina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27224-E0AF-4DFA-953E-2524DE3C2A32}">
  <sheetPr codeName="Planilha6">
    <pageSetUpPr fitToPage="1"/>
  </sheetPr>
  <dimension ref="A1:D107"/>
  <sheetViews>
    <sheetView view="pageBreakPreview" zoomScaleNormal="100" zoomScaleSheetLayoutView="100" workbookViewId="0">
      <selection activeCell="A13" sqref="A13:I13"/>
    </sheetView>
  </sheetViews>
  <sheetFormatPr defaultRowHeight="14.5" x14ac:dyDescent="0.35"/>
  <cols>
    <col min="1" max="1" width="33.453125" customWidth="1"/>
    <col min="2" max="2" width="14.54296875" customWidth="1"/>
    <col min="3" max="3" width="10.81640625" customWidth="1"/>
    <col min="4" max="4" width="12.26953125" customWidth="1"/>
  </cols>
  <sheetData>
    <row r="1" spans="1:4" ht="29.5" customHeight="1" x14ac:dyDescent="0.35">
      <c r="A1" s="132" t="s">
        <v>0</v>
      </c>
      <c r="B1" s="132"/>
      <c r="C1" s="132"/>
      <c r="D1" s="132"/>
    </row>
    <row r="2" spans="1:4" ht="30.5" customHeight="1" x14ac:dyDescent="0.35">
      <c r="A2" s="22" t="s">
        <v>2</v>
      </c>
      <c r="B2" s="133" t="s">
        <v>204</v>
      </c>
      <c r="C2" s="134"/>
      <c r="D2" s="135"/>
    </row>
    <row r="3" spans="1:4" ht="15" customHeight="1" x14ac:dyDescent="0.35">
      <c r="A3" s="22" t="s">
        <v>61</v>
      </c>
      <c r="B3" s="136" t="s">
        <v>205</v>
      </c>
      <c r="C3" s="137"/>
      <c r="D3" s="138"/>
    </row>
    <row r="4" spans="1:4" ht="15" customHeight="1" x14ac:dyDescent="0.35">
      <c r="A4" s="23" t="s">
        <v>1</v>
      </c>
      <c r="B4" s="133" t="s">
        <v>206</v>
      </c>
      <c r="C4" s="134"/>
      <c r="D4" s="135"/>
    </row>
    <row r="5" spans="1:4" ht="26" x14ac:dyDescent="0.35">
      <c r="A5" s="23" t="s">
        <v>3</v>
      </c>
      <c r="B5" s="139">
        <v>2</v>
      </c>
      <c r="C5" s="137"/>
      <c r="D5" s="138"/>
    </row>
    <row r="6" spans="1:4" ht="65.5" customHeight="1" x14ac:dyDescent="0.35">
      <c r="A6" s="23" t="s">
        <v>62</v>
      </c>
      <c r="B6" s="133" t="s">
        <v>207</v>
      </c>
      <c r="C6" s="134"/>
      <c r="D6" s="135"/>
    </row>
    <row r="7" spans="1:4" ht="15" customHeight="1" x14ac:dyDescent="0.35">
      <c r="A7" s="2"/>
      <c r="B7" s="15"/>
      <c r="C7" s="2"/>
      <c r="D7" s="2"/>
    </row>
    <row r="8" spans="1:4" x14ac:dyDescent="0.35">
      <c r="A8" s="142" t="s">
        <v>4</v>
      </c>
      <c r="B8" s="142"/>
      <c r="C8" s="142"/>
      <c r="D8" s="142"/>
    </row>
    <row r="9" spans="1:4" x14ac:dyDescent="0.35">
      <c r="A9" s="141" t="s">
        <v>69</v>
      </c>
      <c r="B9" s="143"/>
      <c r="C9" s="143"/>
      <c r="D9" s="144"/>
    </row>
    <row r="10" spans="1:4" x14ac:dyDescent="0.35">
      <c r="A10" s="145" t="s">
        <v>5</v>
      </c>
      <c r="B10" s="146"/>
      <c r="C10" s="24" t="s">
        <v>6</v>
      </c>
      <c r="D10" s="24" t="s">
        <v>7</v>
      </c>
    </row>
    <row r="11" spans="1:4" ht="40.5" customHeight="1" x14ac:dyDescent="0.35">
      <c r="A11" s="98" t="s">
        <v>8</v>
      </c>
      <c r="B11" s="100"/>
      <c r="C11" s="21" t="s">
        <v>60</v>
      </c>
      <c r="D11" s="3">
        <v>1300.08</v>
      </c>
    </row>
    <row r="12" spans="1:4" ht="15" customHeight="1" x14ac:dyDescent="0.35">
      <c r="A12" s="147" t="s">
        <v>66</v>
      </c>
      <c r="B12" s="148"/>
      <c r="C12" s="49"/>
      <c r="D12" s="38">
        <f>C12*D11/100</f>
        <v>0</v>
      </c>
    </row>
    <row r="13" spans="1:4" x14ac:dyDescent="0.35">
      <c r="A13" s="140" t="s">
        <v>20</v>
      </c>
      <c r="B13" s="140"/>
      <c r="C13" s="140"/>
      <c r="D13" s="28">
        <f>ROUND(SUM(D11:D12),2)</f>
        <v>1300.08</v>
      </c>
    </row>
    <row r="14" spans="1:4" x14ac:dyDescent="0.35">
      <c r="A14" s="2"/>
      <c r="B14" s="2"/>
      <c r="C14" s="2"/>
      <c r="D14" s="2"/>
    </row>
    <row r="15" spans="1:4" x14ac:dyDescent="0.35">
      <c r="A15" s="119" t="s">
        <v>70</v>
      </c>
      <c r="B15" s="119"/>
      <c r="C15" s="119"/>
      <c r="D15" s="119"/>
    </row>
    <row r="16" spans="1:4" x14ac:dyDescent="0.35">
      <c r="A16" s="119" t="s">
        <v>10</v>
      </c>
      <c r="B16" s="119"/>
      <c r="C16" s="24" t="s">
        <v>6</v>
      </c>
      <c r="D16" s="24" t="s">
        <v>7</v>
      </c>
    </row>
    <row r="17" spans="1:4" x14ac:dyDescent="0.35">
      <c r="A17" s="98" t="s">
        <v>11</v>
      </c>
      <c r="B17" s="100"/>
      <c r="C17" s="10">
        <v>0.2</v>
      </c>
      <c r="D17" s="4">
        <f t="shared" ref="D17:D24" si="0">ROUND($D$13*C17,2)</f>
        <v>260.02</v>
      </c>
    </row>
    <row r="18" spans="1:4" x14ac:dyDescent="0.35">
      <c r="A18" s="120" t="s">
        <v>12</v>
      </c>
      <c r="B18" s="121"/>
      <c r="C18" s="48">
        <v>0.08</v>
      </c>
      <c r="D18" s="38">
        <f t="shared" si="0"/>
        <v>104.01</v>
      </c>
    </row>
    <row r="19" spans="1:4" x14ac:dyDescent="0.35">
      <c r="A19" s="98" t="s">
        <v>13</v>
      </c>
      <c r="B19" s="100"/>
      <c r="C19" s="10">
        <v>1.4999999999999999E-2</v>
      </c>
      <c r="D19" s="4">
        <f t="shared" si="0"/>
        <v>19.5</v>
      </c>
    </row>
    <row r="20" spans="1:4" ht="25.5" customHeight="1" x14ac:dyDescent="0.35">
      <c r="A20" s="120" t="s">
        <v>14</v>
      </c>
      <c r="B20" s="121"/>
      <c r="C20" s="48">
        <v>0.01</v>
      </c>
      <c r="D20" s="38">
        <f t="shared" si="0"/>
        <v>13</v>
      </c>
    </row>
    <row r="21" spans="1:4" ht="28.5" customHeight="1" x14ac:dyDescent="0.35">
      <c r="A21" s="98" t="s">
        <v>15</v>
      </c>
      <c r="B21" s="100"/>
      <c r="C21" s="10">
        <v>2E-3</v>
      </c>
      <c r="D21" s="4">
        <f t="shared" si="0"/>
        <v>2.6</v>
      </c>
    </row>
    <row r="22" spans="1:4" x14ac:dyDescent="0.35">
      <c r="A22" s="120" t="s">
        <v>16</v>
      </c>
      <c r="B22" s="121"/>
      <c r="C22" s="48">
        <v>6.0000000000000001E-3</v>
      </c>
      <c r="D22" s="38">
        <f t="shared" si="0"/>
        <v>7.8</v>
      </c>
    </row>
    <row r="23" spans="1:4" x14ac:dyDescent="0.35">
      <c r="A23" s="130" t="s">
        <v>17</v>
      </c>
      <c r="B23" s="131"/>
      <c r="C23" s="10">
        <v>2.5000000000000001E-2</v>
      </c>
      <c r="D23" s="4">
        <f t="shared" si="0"/>
        <v>32.5</v>
      </c>
    </row>
    <row r="24" spans="1:4" ht="39.75" customHeight="1" x14ac:dyDescent="0.35">
      <c r="A24" s="147" t="s">
        <v>18</v>
      </c>
      <c r="B24" s="148"/>
      <c r="C24" s="75">
        <v>0.06</v>
      </c>
      <c r="D24" s="38">
        <f t="shared" si="0"/>
        <v>78</v>
      </c>
    </row>
    <row r="25" spans="1:4" x14ac:dyDescent="0.35">
      <c r="A25" s="116" t="s">
        <v>19</v>
      </c>
      <c r="B25" s="117"/>
      <c r="C25" s="29">
        <f>ROUND(SUM(C17:C24),5)</f>
        <v>0.39800000000000002</v>
      </c>
      <c r="D25" s="28">
        <f>ROUND(SUM(D17:D24),2)</f>
        <v>517.42999999999995</v>
      </c>
    </row>
    <row r="26" spans="1:4" x14ac:dyDescent="0.35">
      <c r="A26" s="19"/>
      <c r="B26" s="19"/>
      <c r="C26" s="5"/>
      <c r="D26" s="6"/>
    </row>
    <row r="27" spans="1:4" x14ac:dyDescent="0.35">
      <c r="A27" s="119" t="s">
        <v>21</v>
      </c>
      <c r="B27" s="119"/>
      <c r="C27" s="24" t="s">
        <v>6</v>
      </c>
      <c r="D27" s="24" t="s">
        <v>7</v>
      </c>
    </row>
    <row r="28" spans="1:4" ht="25" customHeight="1" x14ac:dyDescent="0.35">
      <c r="A28" s="130" t="s">
        <v>22</v>
      </c>
      <c r="B28" s="131"/>
      <c r="C28" s="8">
        <f>ROUND(1/12,5)</f>
        <v>8.3330000000000001E-2</v>
      </c>
      <c r="D28" s="4">
        <f t="shared" ref="D28:D36" si="1">ROUND($D$13*C28,2)</f>
        <v>108.34</v>
      </c>
    </row>
    <row r="29" spans="1:4" ht="25" customHeight="1" x14ac:dyDescent="0.35">
      <c r="A29" s="120" t="s">
        <v>174</v>
      </c>
      <c r="B29" s="121"/>
      <c r="C29" s="47">
        <f>ROUND((1/3)/12,5)</f>
        <v>2.7779999999999999E-2</v>
      </c>
      <c r="D29" s="38">
        <f t="shared" si="1"/>
        <v>36.119999999999997</v>
      </c>
    </row>
    <row r="30" spans="1:4" ht="25" customHeight="1" x14ac:dyDescent="0.35">
      <c r="A30" s="98" t="s">
        <v>23</v>
      </c>
      <c r="B30" s="100"/>
      <c r="C30" s="9">
        <f>ROUND((((100% / 30) * 7) / 12),5)</f>
        <v>1.9439999999999999E-2</v>
      </c>
      <c r="D30" s="4">
        <f t="shared" si="1"/>
        <v>25.27</v>
      </c>
    </row>
    <row r="31" spans="1:4" ht="25" customHeight="1" x14ac:dyDescent="0.35">
      <c r="A31" s="120" t="s">
        <v>24</v>
      </c>
      <c r="B31" s="121"/>
      <c r="C31" s="47">
        <f>ROUND((5/30)/12,5)</f>
        <v>1.389E-2</v>
      </c>
      <c r="D31" s="38">
        <f t="shared" si="1"/>
        <v>18.059999999999999</v>
      </c>
    </row>
    <row r="32" spans="1:4" ht="25" customHeight="1" x14ac:dyDescent="0.35">
      <c r="A32" s="98" t="s">
        <v>25</v>
      </c>
      <c r="B32" s="100"/>
      <c r="C32" s="9">
        <f>ROUND(((15/30/12)*0.08),5)</f>
        <v>3.3300000000000001E-3</v>
      </c>
      <c r="D32" s="4">
        <f t="shared" si="1"/>
        <v>4.33</v>
      </c>
    </row>
    <row r="33" spans="1:4" ht="25" customHeight="1" x14ac:dyDescent="0.35">
      <c r="A33" s="120" t="s">
        <v>26</v>
      </c>
      <c r="B33" s="121"/>
      <c r="C33" s="47">
        <f>ROUND((1/30)/12,5)</f>
        <v>2.7799999999999999E-3</v>
      </c>
      <c r="D33" s="38">
        <f t="shared" si="1"/>
        <v>3.61</v>
      </c>
    </row>
    <row r="34" spans="1:4" ht="25" customHeight="1" x14ac:dyDescent="0.35">
      <c r="A34" s="98" t="s">
        <v>27</v>
      </c>
      <c r="B34" s="100"/>
      <c r="C34" s="9">
        <f>ROUND(0.1111*0.02*0.333,5)</f>
        <v>7.3999999999999999E-4</v>
      </c>
      <c r="D34" s="4">
        <f t="shared" si="1"/>
        <v>0.96</v>
      </c>
    </row>
    <row r="35" spans="1:4" ht="25" customHeight="1" x14ac:dyDescent="0.35">
      <c r="A35" s="120" t="s">
        <v>28</v>
      </c>
      <c r="B35" s="121"/>
      <c r="C35" s="47">
        <f>ROUND(((5/30)/12)*0.015,5)</f>
        <v>2.1000000000000001E-4</v>
      </c>
      <c r="D35" s="38">
        <f t="shared" si="1"/>
        <v>0.27</v>
      </c>
    </row>
    <row r="36" spans="1:4" ht="25" customHeight="1" x14ac:dyDescent="0.35">
      <c r="A36" s="98" t="s">
        <v>175</v>
      </c>
      <c r="B36" s="100"/>
      <c r="C36" s="9">
        <f>ROUND(1/12,5)</f>
        <v>8.3330000000000001E-2</v>
      </c>
      <c r="D36" s="4">
        <f t="shared" si="1"/>
        <v>108.34</v>
      </c>
    </row>
    <row r="37" spans="1:4" x14ac:dyDescent="0.35">
      <c r="A37" s="116" t="s">
        <v>29</v>
      </c>
      <c r="B37" s="117"/>
      <c r="C37" s="29">
        <f>ROUND(SUM(C28:C36),5)</f>
        <v>0.23483000000000001</v>
      </c>
      <c r="D37" s="28">
        <f>ROUND(SUM(D28:D36),2)</f>
        <v>305.3</v>
      </c>
    </row>
    <row r="38" spans="1:4" x14ac:dyDescent="0.35">
      <c r="A38" s="19"/>
      <c r="B38" s="19"/>
      <c r="C38" s="7"/>
      <c r="D38" s="6"/>
    </row>
    <row r="39" spans="1:4" x14ac:dyDescent="0.35">
      <c r="A39" s="126" t="s">
        <v>30</v>
      </c>
      <c r="B39" s="127"/>
      <c r="C39" s="24" t="s">
        <v>6</v>
      </c>
      <c r="D39" s="24" t="s">
        <v>7</v>
      </c>
    </row>
    <row r="40" spans="1:4" ht="25" customHeight="1" x14ac:dyDescent="0.35">
      <c r="A40" s="128" t="s">
        <v>31</v>
      </c>
      <c r="B40" s="129"/>
      <c r="C40" s="11">
        <f>ROUND(1/12*5%,5)</f>
        <v>4.1700000000000001E-3</v>
      </c>
      <c r="D40" s="50">
        <f>ROUND($D$13*C40,2)</f>
        <v>5.42</v>
      </c>
    </row>
    <row r="41" spans="1:4" ht="25" customHeight="1" x14ac:dyDescent="0.35">
      <c r="A41" s="120" t="s">
        <v>32</v>
      </c>
      <c r="B41" s="121"/>
      <c r="C41" s="46">
        <f>ROUND(0.02*(1/12),5)</f>
        <v>1.67E-3</v>
      </c>
      <c r="D41" s="38">
        <f>ROUND($D$13*C41,2)</f>
        <v>2.17</v>
      </c>
    </row>
    <row r="42" spans="1:4" ht="25" customHeight="1" x14ac:dyDescent="0.35">
      <c r="A42" s="128" t="s">
        <v>33</v>
      </c>
      <c r="B42" s="129"/>
      <c r="C42" s="14">
        <f>ROUND(40%*8%,5)</f>
        <v>3.2000000000000001E-2</v>
      </c>
      <c r="D42" s="50">
        <f>ROUND($D$13*C42,2)</f>
        <v>41.6</v>
      </c>
    </row>
    <row r="43" spans="1:4" x14ac:dyDescent="0.35">
      <c r="A43" s="116" t="s">
        <v>34</v>
      </c>
      <c r="B43" s="117"/>
      <c r="C43" s="29">
        <f>ROUND(SUM(C40:C42),5)</f>
        <v>3.7839999999999999E-2</v>
      </c>
      <c r="D43" s="28">
        <f>ROUND(SUM(D40:D42),2)</f>
        <v>49.19</v>
      </c>
    </row>
    <row r="44" spans="1:4" x14ac:dyDescent="0.35">
      <c r="A44" s="19"/>
      <c r="B44" s="19"/>
      <c r="C44" s="7"/>
      <c r="D44" s="6"/>
    </row>
    <row r="45" spans="1:4" x14ac:dyDescent="0.35">
      <c r="A45" s="126" t="s">
        <v>35</v>
      </c>
      <c r="B45" s="127"/>
      <c r="C45" s="24" t="s">
        <v>6</v>
      </c>
      <c r="D45" s="24" t="s">
        <v>7</v>
      </c>
    </row>
    <row r="46" spans="1:4" ht="29" customHeight="1" x14ac:dyDescent="0.35">
      <c r="A46" s="98" t="s">
        <v>36</v>
      </c>
      <c r="B46" s="100"/>
      <c r="C46" s="13">
        <f>ROUND(C25*C37,5)</f>
        <v>9.3460000000000001E-2</v>
      </c>
      <c r="D46" s="4">
        <f>ROUND($D$13*C46,2)</f>
        <v>121.51</v>
      </c>
    </row>
    <row r="47" spans="1:4" x14ac:dyDescent="0.35">
      <c r="A47" s="116" t="s">
        <v>37</v>
      </c>
      <c r="B47" s="117"/>
      <c r="C47" s="29">
        <f>ROUND(SUM(C46),5)</f>
        <v>9.3460000000000001E-2</v>
      </c>
      <c r="D47" s="28">
        <f>ROUND(SUM(D46),2)</f>
        <v>121.51</v>
      </c>
    </row>
    <row r="48" spans="1:4" x14ac:dyDescent="0.35">
      <c r="A48" s="19"/>
      <c r="B48" s="19"/>
      <c r="C48" s="7"/>
      <c r="D48" s="6"/>
    </row>
    <row r="49" spans="1:4" x14ac:dyDescent="0.35">
      <c r="A49" s="126" t="s">
        <v>38</v>
      </c>
      <c r="B49" s="127"/>
      <c r="C49" s="24" t="s">
        <v>6</v>
      </c>
      <c r="D49" s="24" t="s">
        <v>7</v>
      </c>
    </row>
    <row r="50" spans="1:4" ht="65.5" customHeight="1" x14ac:dyDescent="0.35">
      <c r="A50" s="98" t="s">
        <v>39</v>
      </c>
      <c r="B50" s="100"/>
      <c r="C50" s="14">
        <f>ROUND(8%*C40,5)</f>
        <v>3.3E-4</v>
      </c>
      <c r="D50" s="4">
        <f>ROUND($D$13*C50,2)</f>
        <v>0.43</v>
      </c>
    </row>
    <row r="51" spans="1:4" x14ac:dyDescent="0.35">
      <c r="A51" s="116" t="s">
        <v>40</v>
      </c>
      <c r="B51" s="117"/>
      <c r="C51" s="29">
        <f>ROUND(SUM(C50:C50),5)</f>
        <v>3.3E-4</v>
      </c>
      <c r="D51" s="28">
        <f>ROUND(SUM(D50:D50),2)</f>
        <v>0.43</v>
      </c>
    </row>
    <row r="52" spans="1:4" x14ac:dyDescent="0.35">
      <c r="A52" s="19"/>
      <c r="B52" s="19"/>
      <c r="C52" s="7"/>
      <c r="D52" s="6"/>
    </row>
    <row r="53" spans="1:4" x14ac:dyDescent="0.35">
      <c r="A53" s="126" t="s">
        <v>41</v>
      </c>
      <c r="B53" s="127"/>
      <c r="C53" s="24" t="s">
        <v>6</v>
      </c>
      <c r="D53" s="24" t="s">
        <v>7</v>
      </c>
    </row>
    <row r="54" spans="1:4" ht="118" customHeight="1" x14ac:dyDescent="0.35">
      <c r="A54" s="98" t="s">
        <v>42</v>
      </c>
      <c r="B54" s="100"/>
      <c r="C54" s="13">
        <f>ROUND(C25*(13/12)*(4/12)*2/100,5)</f>
        <v>2.8700000000000002E-3</v>
      </c>
      <c r="D54" s="4">
        <f>ROUND($D$13*C54,2)</f>
        <v>3.73</v>
      </c>
    </row>
    <row r="55" spans="1:4" x14ac:dyDescent="0.35">
      <c r="A55" s="116" t="s">
        <v>43</v>
      </c>
      <c r="B55" s="117"/>
      <c r="C55" s="29">
        <f>ROUND(SUM(C54),5)</f>
        <v>2.8700000000000002E-3</v>
      </c>
      <c r="D55" s="28">
        <f>ROUND(SUM(D54),2)</f>
        <v>3.73</v>
      </c>
    </row>
    <row r="56" spans="1:4" x14ac:dyDescent="0.35">
      <c r="A56" s="116" t="s">
        <v>44</v>
      </c>
      <c r="B56" s="117"/>
      <c r="C56" s="29">
        <f>ROUND(C25+C37+C43+C47+C51+C55,5)</f>
        <v>0.76732999999999996</v>
      </c>
      <c r="D56" s="28">
        <f>ROUND(D25+D37+D43+D47+D51+D55,2)</f>
        <v>997.59</v>
      </c>
    </row>
    <row r="57" spans="1:4" ht="15" customHeight="1" x14ac:dyDescent="0.35">
      <c r="A57" s="19"/>
      <c r="B57" s="19"/>
      <c r="C57" s="7"/>
      <c r="D57" s="6"/>
    </row>
    <row r="58" spans="1:4" ht="15" customHeight="1" x14ac:dyDescent="0.35">
      <c r="A58" s="116" t="s">
        <v>45</v>
      </c>
      <c r="B58" s="118"/>
      <c r="C58" s="117"/>
      <c r="D58" s="28">
        <f>D13+D56</f>
        <v>2297.67</v>
      </c>
    </row>
    <row r="59" spans="1:4" ht="15" customHeight="1" x14ac:dyDescent="0.35">
      <c r="A59" s="2"/>
      <c r="B59" s="2"/>
      <c r="C59" s="2"/>
      <c r="D59" s="2"/>
    </row>
    <row r="60" spans="1:4" ht="15" customHeight="1" x14ac:dyDescent="0.35">
      <c r="A60" s="119" t="s">
        <v>71</v>
      </c>
      <c r="B60" s="119"/>
      <c r="C60" s="119"/>
      <c r="D60" s="119"/>
    </row>
    <row r="61" spans="1:4" x14ac:dyDescent="0.35">
      <c r="A61" s="119" t="s">
        <v>46</v>
      </c>
      <c r="B61" s="119"/>
      <c r="C61" s="24" t="s">
        <v>161</v>
      </c>
      <c r="D61" s="25" t="s">
        <v>7</v>
      </c>
    </row>
    <row r="62" spans="1:4" ht="96" customHeight="1" x14ac:dyDescent="0.35">
      <c r="A62" s="122" t="s">
        <v>88</v>
      </c>
      <c r="B62" s="122"/>
      <c r="C62" s="32">
        <v>22.5</v>
      </c>
      <c r="D62" s="32">
        <f>ROUND(C62*22,2)</f>
        <v>495</v>
      </c>
    </row>
    <row r="63" spans="1:4" ht="53.5" customHeight="1" x14ac:dyDescent="0.35">
      <c r="A63" s="123" t="s">
        <v>89</v>
      </c>
      <c r="B63" s="123"/>
      <c r="C63" s="76">
        <v>0.05</v>
      </c>
      <c r="D63" s="45">
        <f>ROUND(D62*C63,2)*-1</f>
        <v>-24.75</v>
      </c>
    </row>
    <row r="64" spans="1:4" ht="29.5" customHeight="1" x14ac:dyDescent="0.35">
      <c r="A64" s="122" t="s">
        <v>77</v>
      </c>
      <c r="B64" s="122"/>
      <c r="C64" s="32">
        <v>140</v>
      </c>
      <c r="D64" s="32">
        <f>C64</f>
        <v>140</v>
      </c>
    </row>
    <row r="65" spans="1:4" ht="102.5" customHeight="1" x14ac:dyDescent="0.35">
      <c r="A65" s="124" t="s">
        <v>90</v>
      </c>
      <c r="B65" s="124"/>
      <c r="C65" s="77">
        <v>3.8</v>
      </c>
      <c r="D65" s="43">
        <f>ROUND(C65*2*26,2)</f>
        <v>197.6</v>
      </c>
    </row>
    <row r="66" spans="1:4" ht="62" customHeight="1" x14ac:dyDescent="0.35">
      <c r="A66" s="125" t="s">
        <v>91</v>
      </c>
      <c r="B66" s="125"/>
      <c r="C66" s="78">
        <v>0.06</v>
      </c>
      <c r="D66" s="33">
        <f>IF(D11*C66&gt;D65,"-",ROUND(D11*C66,2)*-1)</f>
        <v>-78</v>
      </c>
    </row>
    <row r="67" spans="1:4" ht="29.5" customHeight="1" x14ac:dyDescent="0.35">
      <c r="A67" s="124" t="s">
        <v>78</v>
      </c>
      <c r="B67" s="124"/>
      <c r="C67" s="77">
        <v>15</v>
      </c>
      <c r="D67" s="43">
        <f>C67</f>
        <v>15</v>
      </c>
    </row>
    <row r="68" spans="1:4" ht="25.5" customHeight="1" x14ac:dyDescent="0.35">
      <c r="A68" s="122" t="s">
        <v>47</v>
      </c>
      <c r="B68" s="122"/>
      <c r="C68" s="55" t="s">
        <v>60</v>
      </c>
      <c r="D68" s="32">
        <f>Uniforme!F13</f>
        <v>82.32</v>
      </c>
    </row>
    <row r="69" spans="1:4" ht="25.5" customHeight="1" x14ac:dyDescent="0.35">
      <c r="A69" s="151" t="s">
        <v>176</v>
      </c>
      <c r="B69" s="152"/>
      <c r="C69" s="56" t="s">
        <v>60</v>
      </c>
      <c r="D69" s="41">
        <f>'Manutenção Equip.'!F10</f>
        <v>28.17</v>
      </c>
    </row>
    <row r="70" spans="1:4" ht="15" customHeight="1" x14ac:dyDescent="0.35">
      <c r="A70" s="140" t="s">
        <v>48</v>
      </c>
      <c r="B70" s="140"/>
      <c r="C70" s="140"/>
      <c r="D70" s="28">
        <f>ROUND(SUM(D62:D69),2)</f>
        <v>855.34</v>
      </c>
    </row>
    <row r="71" spans="1:4" x14ac:dyDescent="0.35">
      <c r="A71" s="19"/>
      <c r="B71" s="19"/>
      <c r="C71" s="19"/>
      <c r="D71" s="6"/>
    </row>
    <row r="72" spans="1:4" ht="30" customHeight="1" x14ac:dyDescent="0.35">
      <c r="A72" s="116" t="s">
        <v>49</v>
      </c>
      <c r="B72" s="118"/>
      <c r="C72" s="117"/>
      <c r="D72" s="28">
        <f>ROUND(D58+D70,2)</f>
        <v>3153.01</v>
      </c>
    </row>
    <row r="73" spans="1:4" x14ac:dyDescent="0.35">
      <c r="A73" s="19"/>
      <c r="B73" s="19"/>
      <c r="C73" s="19"/>
      <c r="D73" s="6"/>
    </row>
    <row r="74" spans="1:4" x14ac:dyDescent="0.35">
      <c r="A74" s="119" t="s">
        <v>86</v>
      </c>
      <c r="B74" s="119"/>
      <c r="C74" s="119"/>
      <c r="D74" s="119"/>
    </row>
    <row r="75" spans="1:4" x14ac:dyDescent="0.35">
      <c r="A75" s="126" t="s">
        <v>50</v>
      </c>
      <c r="B75" s="127"/>
      <c r="C75" s="24" t="s">
        <v>6</v>
      </c>
      <c r="D75" s="24" t="s">
        <v>7</v>
      </c>
    </row>
    <row r="76" spans="1:4" s="1" customFormat="1" ht="30" customHeight="1" x14ac:dyDescent="0.3">
      <c r="A76" s="98" t="s">
        <v>51</v>
      </c>
      <c r="B76" s="100"/>
      <c r="C76" s="12">
        <v>0.05</v>
      </c>
      <c r="D76" s="17">
        <f>ROUND(D72*C76,2)</f>
        <v>157.65</v>
      </c>
    </row>
    <row r="77" spans="1:4" s="1" customFormat="1" ht="30" customHeight="1" x14ac:dyDescent="0.3">
      <c r="A77" s="120" t="s">
        <v>9</v>
      </c>
      <c r="B77" s="121"/>
      <c r="C77" s="37">
        <v>0.1</v>
      </c>
      <c r="D77" s="40">
        <f>ROUND(D72*C77,2)</f>
        <v>315.3</v>
      </c>
    </row>
    <row r="78" spans="1:4" x14ac:dyDescent="0.35">
      <c r="A78" s="116" t="s">
        <v>52</v>
      </c>
      <c r="B78" s="117"/>
      <c r="C78" s="30">
        <f>ROUND(SUM(C76:C77),5)</f>
        <v>0.15</v>
      </c>
      <c r="D78" s="28">
        <f>SUM(D76:D77)</f>
        <v>472.95000000000005</v>
      </c>
    </row>
    <row r="79" spans="1:4" x14ac:dyDescent="0.35">
      <c r="A79" s="19"/>
      <c r="B79" s="19"/>
      <c r="C79" s="5"/>
      <c r="D79" s="6"/>
    </row>
    <row r="80" spans="1:4" ht="30" customHeight="1" x14ac:dyDescent="0.35">
      <c r="A80" s="116" t="s">
        <v>72</v>
      </c>
      <c r="B80" s="118"/>
      <c r="C80" s="117"/>
      <c r="D80" s="28">
        <f>ROUND(D72+D78,2)</f>
        <v>3625.96</v>
      </c>
    </row>
    <row r="81" spans="1:4" x14ac:dyDescent="0.35">
      <c r="A81" s="19"/>
      <c r="B81" s="19"/>
      <c r="C81" s="19"/>
      <c r="D81" s="6"/>
    </row>
    <row r="82" spans="1:4" ht="35.25" customHeight="1" x14ac:dyDescent="0.35">
      <c r="A82" s="153" t="s">
        <v>63</v>
      </c>
      <c r="B82" s="153"/>
      <c r="C82" s="29">
        <f>ROUND(1-(SUM(C85:C87)/1),5)</f>
        <v>0.91349999999999998</v>
      </c>
      <c r="D82" s="28">
        <f>ROUND(D80/C82,2)</f>
        <v>3969.3</v>
      </c>
    </row>
    <row r="83" spans="1:4" x14ac:dyDescent="0.35">
      <c r="A83" s="2"/>
      <c r="B83" s="2"/>
      <c r="C83" s="2"/>
      <c r="D83" s="2"/>
    </row>
    <row r="84" spans="1:4" x14ac:dyDescent="0.35">
      <c r="A84" s="126" t="s">
        <v>53</v>
      </c>
      <c r="B84" s="127"/>
      <c r="C84" s="24" t="s">
        <v>6</v>
      </c>
      <c r="D84" s="24" t="s">
        <v>7</v>
      </c>
    </row>
    <row r="85" spans="1:4" ht="22" customHeight="1" x14ac:dyDescent="0.35">
      <c r="A85" s="98" t="s">
        <v>54</v>
      </c>
      <c r="B85" s="100"/>
      <c r="C85" s="12">
        <v>0.05</v>
      </c>
      <c r="D85" s="4">
        <f>ROUND($D$82*C85,2)</f>
        <v>198.47</v>
      </c>
    </row>
    <row r="86" spans="1:4" ht="22" customHeight="1" x14ac:dyDescent="0.35">
      <c r="A86" s="120" t="s">
        <v>55</v>
      </c>
      <c r="B86" s="121"/>
      <c r="C86" s="37">
        <v>0.03</v>
      </c>
      <c r="D86" s="38">
        <f>ROUND($D$82*C86,2)</f>
        <v>119.08</v>
      </c>
    </row>
    <row r="87" spans="1:4" ht="22" customHeight="1" x14ac:dyDescent="0.35">
      <c r="A87" s="98" t="s">
        <v>56</v>
      </c>
      <c r="B87" s="100"/>
      <c r="C87" s="12">
        <v>6.4999999999999997E-3</v>
      </c>
      <c r="D87" s="4">
        <f>ROUND($D$82*C87,2)</f>
        <v>25.8</v>
      </c>
    </row>
    <row r="88" spans="1:4" x14ac:dyDescent="0.35">
      <c r="A88" s="116" t="s">
        <v>57</v>
      </c>
      <c r="B88" s="117"/>
      <c r="C88" s="29">
        <f>ROUND(SUM(C85:C87),5)</f>
        <v>8.6499999999999994E-2</v>
      </c>
      <c r="D88" s="28">
        <f>ROUND(SUM(D85:D87),2)</f>
        <v>343.35</v>
      </c>
    </row>
    <row r="89" spans="1:4" ht="10" customHeight="1" x14ac:dyDescent="0.35">
      <c r="A89" s="2"/>
      <c r="B89" s="2"/>
      <c r="C89" s="2"/>
      <c r="D89" s="2"/>
    </row>
    <row r="90" spans="1:4" ht="25" customHeight="1" x14ac:dyDescent="0.35">
      <c r="A90" s="116" t="s">
        <v>58</v>
      </c>
      <c r="B90" s="118"/>
      <c r="C90" s="117"/>
      <c r="D90" s="28">
        <f>ROUND(D80+D88,2)</f>
        <v>3969.31</v>
      </c>
    </row>
    <row r="91" spans="1:4" ht="25" customHeight="1" x14ac:dyDescent="0.35">
      <c r="A91" s="116" t="s">
        <v>64</v>
      </c>
      <c r="B91" s="118"/>
      <c r="C91" s="117"/>
      <c r="D91" s="28">
        <f>ROUND(D90*12,2)</f>
        <v>47631.72</v>
      </c>
    </row>
    <row r="92" spans="1:4" ht="10" customHeight="1" x14ac:dyDescent="0.35">
      <c r="A92" s="19"/>
      <c r="B92" s="19"/>
      <c r="C92" s="19"/>
      <c r="D92" s="6"/>
    </row>
    <row r="93" spans="1:4" ht="15" customHeight="1" x14ac:dyDescent="0.35">
      <c r="A93" s="119" t="s">
        <v>59</v>
      </c>
      <c r="B93" s="119"/>
      <c r="C93" s="119"/>
      <c r="D93" s="26" t="s">
        <v>6</v>
      </c>
    </row>
    <row r="94" spans="1:4" ht="15" customHeight="1" x14ac:dyDescent="0.35">
      <c r="A94" s="114" t="s">
        <v>73</v>
      </c>
      <c r="B94" s="114"/>
      <c r="C94" s="114"/>
      <c r="D94" s="16">
        <f>C25</f>
        <v>0.39800000000000002</v>
      </c>
    </row>
    <row r="95" spans="1:4" ht="15" customHeight="1" x14ac:dyDescent="0.35">
      <c r="A95" s="115" t="s">
        <v>29</v>
      </c>
      <c r="B95" s="115"/>
      <c r="C95" s="115"/>
      <c r="D95" s="39">
        <f>C37</f>
        <v>0.23483000000000001</v>
      </c>
    </row>
    <row r="96" spans="1:4" ht="15" customHeight="1" x14ac:dyDescent="0.35">
      <c r="A96" s="114" t="s">
        <v>34</v>
      </c>
      <c r="B96" s="114"/>
      <c r="C96" s="114"/>
      <c r="D96" s="16">
        <f>C43</f>
        <v>3.7839999999999999E-2</v>
      </c>
    </row>
    <row r="97" spans="1:4" ht="15" customHeight="1" x14ac:dyDescent="0.35">
      <c r="A97" s="115" t="s">
        <v>37</v>
      </c>
      <c r="B97" s="115"/>
      <c r="C97" s="115"/>
      <c r="D97" s="39">
        <f>C47</f>
        <v>9.3460000000000001E-2</v>
      </c>
    </row>
    <row r="98" spans="1:4" ht="15" customHeight="1" x14ac:dyDescent="0.35">
      <c r="A98" s="114" t="s">
        <v>40</v>
      </c>
      <c r="B98" s="114"/>
      <c r="C98" s="114"/>
      <c r="D98" s="16">
        <f>C51</f>
        <v>3.3E-4</v>
      </c>
    </row>
    <row r="99" spans="1:4" ht="15" customHeight="1" x14ac:dyDescent="0.35">
      <c r="A99" s="115" t="s">
        <v>43</v>
      </c>
      <c r="B99" s="115"/>
      <c r="C99" s="115"/>
      <c r="D99" s="39">
        <f>C55</f>
        <v>2.8700000000000002E-3</v>
      </c>
    </row>
    <row r="100" spans="1:4" ht="15" customHeight="1" x14ac:dyDescent="0.35">
      <c r="A100" s="154" t="s">
        <v>74</v>
      </c>
      <c r="B100" s="154"/>
      <c r="C100" s="154"/>
      <c r="D100" s="27">
        <f>ROUND(SUM(D94:D99),5)</f>
        <v>0.76732999999999996</v>
      </c>
    </row>
    <row r="101" spans="1:4" ht="10" customHeight="1" x14ac:dyDescent="0.35"/>
    <row r="102" spans="1:4" x14ac:dyDescent="0.35">
      <c r="A102" s="126" t="s">
        <v>178</v>
      </c>
      <c r="B102" s="127"/>
      <c r="C102" s="24" t="s">
        <v>179</v>
      </c>
      <c r="D102" s="26" t="s">
        <v>6</v>
      </c>
    </row>
    <row r="103" spans="1:4" x14ac:dyDescent="0.35">
      <c r="A103" s="130" t="s">
        <v>180</v>
      </c>
      <c r="B103" s="131"/>
      <c r="C103" s="84">
        <f>D13</f>
        <v>1300.08</v>
      </c>
      <c r="D103" s="16">
        <f>ROUND(C103/$C$107,5)</f>
        <v>0.32752999999999999</v>
      </c>
    </row>
    <row r="104" spans="1:4" ht="24.5" customHeight="1" x14ac:dyDescent="0.35">
      <c r="A104" s="147" t="s">
        <v>181</v>
      </c>
      <c r="B104" s="148"/>
      <c r="C104" s="85">
        <f>D56</f>
        <v>997.59</v>
      </c>
      <c r="D104" s="39">
        <f>ROUND(C104/$C$107,5)</f>
        <v>0.25133</v>
      </c>
    </row>
    <row r="105" spans="1:4" x14ac:dyDescent="0.35">
      <c r="A105" s="130" t="s">
        <v>182</v>
      </c>
      <c r="B105" s="131"/>
      <c r="C105" s="84">
        <f>D70</f>
        <v>855.34</v>
      </c>
      <c r="D105" s="16">
        <f>ROUND(C105/$C$107,5)</f>
        <v>0.21548999999999999</v>
      </c>
    </row>
    <row r="106" spans="1:4" x14ac:dyDescent="0.35">
      <c r="A106" s="147" t="s">
        <v>183</v>
      </c>
      <c r="B106" s="148"/>
      <c r="C106" s="85">
        <f>ROUND(D78+D88,2)</f>
        <v>816.3</v>
      </c>
      <c r="D106" s="39">
        <f>ROUND(C106/$C$107,5)</f>
        <v>0.20565</v>
      </c>
    </row>
    <row r="107" spans="1:4" x14ac:dyDescent="0.35">
      <c r="A107" s="149" t="s">
        <v>184</v>
      </c>
      <c r="B107" s="150"/>
      <c r="C107" s="86">
        <f>ROUND(SUM(C103:C106),2)</f>
        <v>3969.31</v>
      </c>
      <c r="D107" s="29">
        <f>ROUND(SUM(D103:D106),5)</f>
        <v>1</v>
      </c>
    </row>
  </sheetData>
  <mergeCells count="90">
    <mergeCell ref="A22:B22"/>
    <mergeCell ref="A23:B23"/>
    <mergeCell ref="A24:B24"/>
    <mergeCell ref="A102:B102"/>
    <mergeCell ref="A103:B103"/>
    <mergeCell ref="A104:B104"/>
    <mergeCell ref="A105:B105"/>
    <mergeCell ref="A106:B106"/>
    <mergeCell ref="A107:B107"/>
    <mergeCell ref="A68:B68"/>
    <mergeCell ref="A69:B69"/>
    <mergeCell ref="A70:C70"/>
    <mergeCell ref="A72:C72"/>
    <mergeCell ref="A74:D74"/>
    <mergeCell ref="A82:B82"/>
    <mergeCell ref="A84:B84"/>
    <mergeCell ref="A99:C99"/>
    <mergeCell ref="A100:C100"/>
    <mergeCell ref="A43:B43"/>
    <mergeCell ref="A45:B45"/>
    <mergeCell ref="A46:B46"/>
    <mergeCell ref="A47:B47"/>
    <mergeCell ref="A49:B49"/>
    <mergeCell ref="A53:B53"/>
    <mergeCell ref="A1:D1"/>
    <mergeCell ref="B2:D2"/>
    <mergeCell ref="B3:D3"/>
    <mergeCell ref="B4:D4"/>
    <mergeCell ref="B5:D5"/>
    <mergeCell ref="B6:D6"/>
    <mergeCell ref="A19:B19"/>
    <mergeCell ref="A20:B20"/>
    <mergeCell ref="A21:B21"/>
    <mergeCell ref="A13:C13"/>
    <mergeCell ref="A15:D15"/>
    <mergeCell ref="A16:B16"/>
    <mergeCell ref="A17:B17"/>
    <mergeCell ref="A18:B18"/>
    <mergeCell ref="A8:D8"/>
    <mergeCell ref="A9:D9"/>
    <mergeCell ref="A10:B10"/>
    <mergeCell ref="A11:B11"/>
    <mergeCell ref="A12:B12"/>
    <mergeCell ref="A40:B40"/>
    <mergeCell ref="A41:B41"/>
    <mergeCell ref="A42:B42"/>
    <mergeCell ref="A25:B25"/>
    <mergeCell ref="A27:B27"/>
    <mergeCell ref="A28:B28"/>
    <mergeCell ref="A29:B29"/>
    <mergeCell ref="A30:B30"/>
    <mergeCell ref="A31:B31"/>
    <mergeCell ref="A32:B32"/>
    <mergeCell ref="A33:B33"/>
    <mergeCell ref="A36:B36"/>
    <mergeCell ref="A34:B34"/>
    <mergeCell ref="A35:B35"/>
    <mergeCell ref="A37:B37"/>
    <mergeCell ref="A39:B39"/>
    <mergeCell ref="A54:B54"/>
    <mergeCell ref="A55:B55"/>
    <mergeCell ref="A56:B56"/>
    <mergeCell ref="A58:C58"/>
    <mergeCell ref="A60:D60"/>
    <mergeCell ref="A50:B50"/>
    <mergeCell ref="A51:B51"/>
    <mergeCell ref="A61:B61"/>
    <mergeCell ref="A62:B62"/>
    <mergeCell ref="A63:B63"/>
    <mergeCell ref="A64:B64"/>
    <mergeCell ref="A65:B65"/>
    <mergeCell ref="A66:B66"/>
    <mergeCell ref="A67:B67"/>
    <mergeCell ref="A75:B75"/>
    <mergeCell ref="A76:B76"/>
    <mergeCell ref="A77:B77"/>
    <mergeCell ref="A78:B78"/>
    <mergeCell ref="A80:C80"/>
    <mergeCell ref="A85:B85"/>
    <mergeCell ref="A86:B86"/>
    <mergeCell ref="A87:B87"/>
    <mergeCell ref="A96:C96"/>
    <mergeCell ref="A97:C97"/>
    <mergeCell ref="A98:C98"/>
    <mergeCell ref="A88:B88"/>
    <mergeCell ref="A90:C90"/>
    <mergeCell ref="A91:C91"/>
    <mergeCell ref="A93:C93"/>
    <mergeCell ref="A94:C94"/>
    <mergeCell ref="A95:C95"/>
  </mergeCells>
  <pageMargins left="0.51181102362204722" right="0.51181102362204722" top="0.78740157480314965" bottom="0.78740157480314965" header="0.31496062992125984" footer="0.31496062992125984"/>
  <pageSetup paperSize="9" fitToHeight="0" orientation="portrait" r:id="rId1"/>
  <headerFooter>
    <oddFooter>&amp;CPágina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2A34E-E8A9-471F-94BB-D25D30014FD0}">
  <sheetPr codeName="Planilha20">
    <pageSetUpPr fitToPage="1"/>
  </sheetPr>
  <dimension ref="A1:F13"/>
  <sheetViews>
    <sheetView view="pageBreakPreview" zoomScaleNormal="100" zoomScaleSheetLayoutView="100" workbookViewId="0">
      <selection activeCell="A13" sqref="A13:I13"/>
    </sheetView>
  </sheetViews>
  <sheetFormatPr defaultRowHeight="14.5" x14ac:dyDescent="0.35"/>
  <cols>
    <col min="1" max="1" width="5.81640625" customWidth="1"/>
    <col min="2" max="2" width="27.81640625" customWidth="1"/>
    <col min="3" max="3" width="9.1796875" customWidth="1"/>
    <col min="4" max="4" width="9.36328125" customWidth="1"/>
    <col min="5" max="5" width="12.81640625" customWidth="1"/>
    <col min="6" max="6" width="14.36328125" customWidth="1"/>
  </cols>
  <sheetData>
    <row r="1" spans="1:6" ht="27" customHeight="1" x14ac:dyDescent="0.35">
      <c r="A1" s="132" t="s">
        <v>220</v>
      </c>
      <c r="B1" s="132"/>
      <c r="C1" s="132"/>
      <c r="D1" s="132"/>
      <c r="E1" s="132"/>
      <c r="F1" s="132"/>
    </row>
    <row r="2" spans="1:6" ht="15" customHeight="1" x14ac:dyDescent="0.35">
      <c r="A2" s="155" t="s">
        <v>166</v>
      </c>
      <c r="B2" s="156"/>
      <c r="C2" s="156"/>
      <c r="D2" s="156"/>
      <c r="E2" s="156"/>
      <c r="F2" s="157"/>
    </row>
    <row r="3" spans="1:6" ht="39.75" customHeight="1" x14ac:dyDescent="0.35">
      <c r="A3" s="24" t="s">
        <v>59</v>
      </c>
      <c r="B3" s="81" t="s">
        <v>165</v>
      </c>
      <c r="C3" s="24" t="s">
        <v>98</v>
      </c>
      <c r="D3" s="24" t="s">
        <v>164</v>
      </c>
      <c r="E3" s="24" t="s">
        <v>163</v>
      </c>
      <c r="F3" s="24" t="s">
        <v>162</v>
      </c>
    </row>
    <row r="4" spans="1:6" ht="15" customHeight="1" x14ac:dyDescent="0.35">
      <c r="A4" s="60">
        <f>1</f>
        <v>1</v>
      </c>
      <c r="B4" s="80" t="s">
        <v>212</v>
      </c>
      <c r="C4" s="60" t="s">
        <v>99</v>
      </c>
      <c r="D4" s="60">
        <v>8</v>
      </c>
      <c r="E4" s="79">
        <v>55.46</v>
      </c>
      <c r="F4" s="79">
        <f>ROUND(E4*D4,2)</f>
        <v>443.68</v>
      </c>
    </row>
    <row r="5" spans="1:6" ht="24" customHeight="1" x14ac:dyDescent="0.35">
      <c r="A5" s="56">
        <f>A4+1</f>
        <v>2</v>
      </c>
      <c r="B5" s="42" t="s">
        <v>213</v>
      </c>
      <c r="C5" s="56" t="s">
        <v>99</v>
      </c>
      <c r="D5" s="56">
        <v>6</v>
      </c>
      <c r="E5" s="43">
        <v>90.7</v>
      </c>
      <c r="F5" s="43">
        <f>ROUND(E5*D5,2)</f>
        <v>544.20000000000005</v>
      </c>
    </row>
    <row r="6" spans="1:6" ht="15" customHeight="1" x14ac:dyDescent="0.35">
      <c r="A6" s="158" t="s">
        <v>214</v>
      </c>
      <c r="B6" s="158"/>
      <c r="C6" s="158"/>
      <c r="D6" s="158"/>
      <c r="E6" s="158"/>
      <c r="F6" s="59">
        <f>ROUND(SUM(F4:F5),2)</f>
        <v>987.88</v>
      </c>
    </row>
    <row r="7" spans="1:6" ht="15" customHeight="1" x14ac:dyDescent="0.35">
      <c r="A7" s="155" t="s">
        <v>215</v>
      </c>
      <c r="B7" s="156"/>
      <c r="C7" s="156"/>
      <c r="D7" s="156"/>
      <c r="E7" s="156"/>
      <c r="F7" s="157"/>
    </row>
    <row r="8" spans="1:6" ht="35" customHeight="1" x14ac:dyDescent="0.35">
      <c r="A8" s="24" t="s">
        <v>59</v>
      </c>
      <c r="B8" s="81" t="s">
        <v>165</v>
      </c>
      <c r="C8" s="24" t="s">
        <v>98</v>
      </c>
      <c r="D8" s="24" t="s">
        <v>164</v>
      </c>
      <c r="E8" s="24" t="s">
        <v>163</v>
      </c>
      <c r="F8" s="24" t="s">
        <v>162</v>
      </c>
    </row>
    <row r="9" spans="1:6" ht="15" customHeight="1" x14ac:dyDescent="0.35">
      <c r="A9" s="60">
        <f>1</f>
        <v>1</v>
      </c>
      <c r="B9" s="80" t="s">
        <v>212</v>
      </c>
      <c r="C9" s="60" t="s">
        <v>99</v>
      </c>
      <c r="D9" s="60">
        <v>8</v>
      </c>
      <c r="E9" s="79">
        <v>55.46</v>
      </c>
      <c r="F9" s="79">
        <f>ROUND(E9*D9,2)</f>
        <v>443.68</v>
      </c>
    </row>
    <row r="10" spans="1:6" ht="15" customHeight="1" x14ac:dyDescent="0.35">
      <c r="A10" s="56">
        <f>A9+1</f>
        <v>2</v>
      </c>
      <c r="B10" s="42" t="s">
        <v>216</v>
      </c>
      <c r="C10" s="56" t="s">
        <v>99</v>
      </c>
      <c r="D10" s="56">
        <v>6</v>
      </c>
      <c r="E10" s="43">
        <v>90.7</v>
      </c>
      <c r="F10" s="43">
        <f>ROUND(E10*D10,2)</f>
        <v>544.20000000000005</v>
      </c>
    </row>
    <row r="11" spans="1:6" ht="15" customHeight="1" x14ac:dyDescent="0.35">
      <c r="A11" s="158" t="s">
        <v>217</v>
      </c>
      <c r="B11" s="158"/>
      <c r="C11" s="158"/>
      <c r="D11" s="158"/>
      <c r="E11" s="158"/>
      <c r="F11" s="59">
        <f>ROUND(SUM(F9:F10),2)</f>
        <v>987.88</v>
      </c>
    </row>
    <row r="12" spans="1:6" ht="31" customHeight="1" x14ac:dyDescent="0.35">
      <c r="A12" s="116" t="s">
        <v>218</v>
      </c>
      <c r="B12" s="118"/>
      <c r="C12" s="118"/>
      <c r="D12" s="118"/>
      <c r="E12" s="117"/>
      <c r="F12" s="59">
        <f>ROUND((F6+F11)/2,2)</f>
        <v>987.88</v>
      </c>
    </row>
    <row r="13" spans="1:6" ht="15" customHeight="1" x14ac:dyDescent="0.35">
      <c r="A13" s="158" t="s">
        <v>219</v>
      </c>
      <c r="B13" s="158"/>
      <c r="C13" s="158"/>
      <c r="D13" s="158"/>
      <c r="E13" s="158"/>
      <c r="F13" s="59">
        <f>ROUND(F12/12,2)</f>
        <v>82.32</v>
      </c>
    </row>
  </sheetData>
  <mergeCells count="7">
    <mergeCell ref="A1:F1"/>
    <mergeCell ref="A2:F2"/>
    <mergeCell ref="A13:E13"/>
    <mergeCell ref="A6:E6"/>
    <mergeCell ref="A7:F7"/>
    <mergeCell ref="A11:E11"/>
    <mergeCell ref="A12:E12"/>
  </mergeCells>
  <pageMargins left="0.51181102362204722" right="0.51181102362204722" top="0.78740157480314965" bottom="0.78740157480314965" header="0.31496062992125984" footer="0.31496062992125984"/>
  <pageSetup paperSize="9" fitToHeight="0" orientation="portrait" r:id="rId1"/>
  <headerFooter>
    <oddFooter>&amp;CPágina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EA077-5D08-4570-92FF-A23BB3637060}">
  <sheetPr codeName="Planilha22">
    <pageSetUpPr fitToPage="1"/>
  </sheetPr>
  <dimension ref="A1:F11"/>
  <sheetViews>
    <sheetView view="pageBreakPreview" zoomScaleNormal="100" zoomScaleSheetLayoutView="100" workbookViewId="0">
      <selection activeCell="A13" sqref="A13:I13"/>
    </sheetView>
  </sheetViews>
  <sheetFormatPr defaultRowHeight="14.5" x14ac:dyDescent="0.35"/>
  <cols>
    <col min="1" max="1" width="6" customWidth="1"/>
    <col min="2" max="2" width="38.453125" customWidth="1"/>
    <col min="3" max="3" width="9.1796875" customWidth="1"/>
    <col min="5" max="5" width="13.08984375" customWidth="1"/>
    <col min="6" max="6" width="13.90625" customWidth="1"/>
  </cols>
  <sheetData>
    <row r="1" spans="1:6" ht="15" customHeight="1" x14ac:dyDescent="0.35">
      <c r="A1" s="159" t="s">
        <v>177</v>
      </c>
      <c r="B1" s="160"/>
      <c r="C1" s="160"/>
      <c r="D1" s="160"/>
      <c r="E1" s="160"/>
      <c r="F1" s="161"/>
    </row>
    <row r="2" spans="1:6" ht="37.5" customHeight="1" x14ac:dyDescent="0.35">
      <c r="A2" s="24" t="s">
        <v>59</v>
      </c>
      <c r="B2" s="24" t="s">
        <v>165</v>
      </c>
      <c r="C2" s="83" t="s">
        <v>98</v>
      </c>
      <c r="D2" s="83" t="s">
        <v>168</v>
      </c>
      <c r="E2" s="24" t="s">
        <v>163</v>
      </c>
      <c r="F2" s="24" t="s">
        <v>162</v>
      </c>
    </row>
    <row r="3" spans="1:6" ht="15" customHeight="1" x14ac:dyDescent="0.35">
      <c r="A3" s="21">
        <f>1</f>
        <v>1</v>
      </c>
      <c r="B3" s="80" t="s">
        <v>208</v>
      </c>
      <c r="C3" s="21" t="s">
        <v>167</v>
      </c>
      <c r="D3" s="21">
        <v>1</v>
      </c>
      <c r="E3" s="82">
        <v>99.78</v>
      </c>
      <c r="F3" s="17">
        <f>ROUND(D3*E3,2)</f>
        <v>99.78</v>
      </c>
    </row>
    <row r="4" spans="1:6" ht="15" customHeight="1" x14ac:dyDescent="0.35">
      <c r="A4" s="21">
        <f>A3+1</f>
        <v>2</v>
      </c>
      <c r="B4" s="80" t="s">
        <v>209</v>
      </c>
      <c r="C4" s="21" t="s">
        <v>167</v>
      </c>
      <c r="D4" s="21">
        <v>1</v>
      </c>
      <c r="E4" s="82">
        <v>67</v>
      </c>
      <c r="F4" s="17">
        <f t="shared" ref="F4:F6" si="0">ROUND(D4*E4,2)</f>
        <v>67</v>
      </c>
    </row>
    <row r="5" spans="1:6" ht="26.5" customHeight="1" x14ac:dyDescent="0.35">
      <c r="A5" s="21">
        <f>A4+1</f>
        <v>3</v>
      </c>
      <c r="B5" s="80" t="s">
        <v>210</v>
      </c>
      <c r="C5" s="21" t="s">
        <v>167</v>
      </c>
      <c r="D5" s="21">
        <v>1</v>
      </c>
      <c r="E5" s="82">
        <v>1924</v>
      </c>
      <c r="F5" s="17">
        <f t="shared" si="0"/>
        <v>1924</v>
      </c>
    </row>
    <row r="6" spans="1:6" ht="15" customHeight="1" x14ac:dyDescent="0.35">
      <c r="A6" s="21">
        <f>A5+1</f>
        <v>4</v>
      </c>
      <c r="B6" s="80" t="s">
        <v>211</v>
      </c>
      <c r="C6" s="21" t="s">
        <v>167</v>
      </c>
      <c r="D6" s="21">
        <v>1</v>
      </c>
      <c r="E6" s="82">
        <v>24.79</v>
      </c>
      <c r="F6" s="17">
        <f t="shared" si="0"/>
        <v>24.79</v>
      </c>
    </row>
    <row r="7" spans="1:6" ht="14.5" customHeight="1" x14ac:dyDescent="0.35">
      <c r="A7" s="118" t="s">
        <v>172</v>
      </c>
      <c r="B7" s="118"/>
      <c r="C7" s="118"/>
      <c r="D7" s="118"/>
      <c r="E7" s="117"/>
      <c r="F7" s="28">
        <f>ROUND(SUM(F3:F6),2)</f>
        <v>2115.5700000000002</v>
      </c>
    </row>
    <row r="8" spans="1:6" ht="27" customHeight="1" x14ac:dyDescent="0.35">
      <c r="A8" s="116" t="s">
        <v>171</v>
      </c>
      <c r="B8" s="118"/>
      <c r="C8" s="118"/>
      <c r="D8" s="118"/>
      <c r="E8" s="117"/>
      <c r="F8" s="28">
        <f>ROUND(0.6*83*F7/10000,2)</f>
        <v>10.54</v>
      </c>
    </row>
    <row r="9" spans="1:6" ht="27" customHeight="1" x14ac:dyDescent="0.35">
      <c r="A9" s="116" t="s">
        <v>170</v>
      </c>
      <c r="B9" s="118"/>
      <c r="C9" s="118"/>
      <c r="D9" s="118"/>
      <c r="E9" s="117"/>
      <c r="F9" s="28">
        <f>ROUND(F7*(1-0.2)/(12*8),2)</f>
        <v>17.63</v>
      </c>
    </row>
    <row r="10" spans="1:6" ht="27" customHeight="1" x14ac:dyDescent="0.35">
      <c r="A10" s="116" t="s">
        <v>169</v>
      </c>
      <c r="B10" s="118"/>
      <c r="C10" s="118"/>
      <c r="D10" s="118"/>
      <c r="E10" s="117"/>
      <c r="F10" s="28">
        <f>ROUND(F8+F9,2)</f>
        <v>28.17</v>
      </c>
    </row>
    <row r="11" spans="1:6" ht="5" customHeight="1" x14ac:dyDescent="0.35">
      <c r="A11" s="19"/>
      <c r="B11" s="19"/>
      <c r="C11" s="19"/>
      <c r="D11" s="19"/>
      <c r="E11" s="19"/>
      <c r="F11" s="6"/>
    </row>
  </sheetData>
  <mergeCells count="5">
    <mergeCell ref="A1:F1"/>
    <mergeCell ref="A7:E7"/>
    <mergeCell ref="A8:E8"/>
    <mergeCell ref="A9:E9"/>
    <mergeCell ref="A10:E10"/>
  </mergeCells>
  <pageMargins left="0.51181102362204722" right="0.51181102362204722" top="0.78740157480314965" bottom="0.78740157480314965" header="0.31496062992125984" footer="0.31496062992125984"/>
  <pageSetup paperSize="9" fitToHeight="0" orientation="portrait" r:id="rId1"/>
  <headerFooter>
    <oddFooter>&amp;CPágina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97A17-8900-4CC9-84A6-AAAEFEC8272E}">
  <sheetPr codeName="Planilha24">
    <pageSetUpPr fitToPage="1"/>
  </sheetPr>
  <dimension ref="A1:F13"/>
  <sheetViews>
    <sheetView view="pageBreakPreview" zoomScaleNormal="100" zoomScaleSheetLayoutView="100" workbookViewId="0">
      <selection activeCell="A13" sqref="A13:I13"/>
    </sheetView>
  </sheetViews>
  <sheetFormatPr defaultRowHeight="14.5" x14ac:dyDescent="0.35"/>
  <cols>
    <col min="2" max="2" width="32.1796875" bestFit="1" customWidth="1"/>
    <col min="3" max="4" width="13.6328125" customWidth="1"/>
    <col min="5" max="5" width="14.453125" customWidth="1"/>
    <col min="6" max="6" width="14.26953125" customWidth="1"/>
    <col min="7" max="7" width="14.6328125" customWidth="1"/>
  </cols>
  <sheetData>
    <row r="1" spans="1:6" x14ac:dyDescent="0.35">
      <c r="A1" s="165" t="s">
        <v>137</v>
      </c>
      <c r="B1" s="165"/>
      <c r="C1" s="165"/>
      <c r="D1" s="165"/>
      <c r="E1" s="165"/>
      <c r="F1" s="165"/>
    </row>
    <row r="2" spans="1:6" ht="14.5" customHeight="1" x14ac:dyDescent="0.35">
      <c r="A2" s="142" t="s">
        <v>127</v>
      </c>
      <c r="B2" s="142"/>
      <c r="C2" s="142"/>
      <c r="D2" s="142"/>
      <c r="E2" s="142"/>
      <c r="F2" s="142"/>
    </row>
    <row r="3" spans="1:6" ht="36.5" customHeight="1" x14ac:dyDescent="0.35">
      <c r="A3" s="88" t="s">
        <v>59</v>
      </c>
      <c r="B3" s="81" t="s">
        <v>118</v>
      </c>
      <c r="C3" s="24" t="s">
        <v>79</v>
      </c>
      <c r="D3" s="24" t="s">
        <v>80</v>
      </c>
      <c r="E3" s="24" t="s">
        <v>81</v>
      </c>
      <c r="F3" s="24" t="s">
        <v>82</v>
      </c>
    </row>
    <row r="4" spans="1:6" x14ac:dyDescent="0.35">
      <c r="A4" s="60">
        <v>1</v>
      </c>
      <c r="B4" s="61" t="str">
        <f>'Hr-Extra Agente de Portaria'!B2:D2</f>
        <v>Agente de Portaria</v>
      </c>
      <c r="C4" s="55">
        <f>'Quantidade de Hora-Extra'!B4</f>
        <v>1</v>
      </c>
      <c r="D4" s="32">
        <v>40</v>
      </c>
      <c r="E4" s="32">
        <f>'Hr-Extra Agente de Portaria'!D89</f>
        <v>17.55</v>
      </c>
      <c r="F4" s="32">
        <f t="shared" ref="F4" si="0">ROUND(C4*D4*E4,2)</f>
        <v>702</v>
      </c>
    </row>
    <row r="5" spans="1:6" x14ac:dyDescent="0.35">
      <c r="A5" s="158" t="s">
        <v>128</v>
      </c>
      <c r="B5" s="158"/>
      <c r="C5" s="51">
        <f>ROUND(SUM(C4:C4),2)</f>
        <v>1</v>
      </c>
      <c r="D5" s="51">
        <f>ROUND(SUM(D4:D4),2)</f>
        <v>40</v>
      </c>
      <c r="E5" s="52">
        <f>ROUND(SUM(E4:E4),2)</f>
        <v>17.55</v>
      </c>
      <c r="F5" s="52">
        <f>ROUND(SUM(F4:F4),2)</f>
        <v>702</v>
      </c>
    </row>
    <row r="6" spans="1:6" ht="8" customHeight="1" x14ac:dyDescent="0.35"/>
    <row r="7" spans="1:6" x14ac:dyDescent="0.35">
      <c r="A7" s="142" t="s">
        <v>129</v>
      </c>
      <c r="B7" s="142"/>
      <c r="C7" s="142"/>
      <c r="D7" s="142"/>
      <c r="E7" s="142"/>
      <c r="F7" s="142"/>
    </row>
    <row r="8" spans="1:6" ht="36.5" customHeight="1" x14ac:dyDescent="0.35">
      <c r="A8" s="88" t="s">
        <v>59</v>
      </c>
      <c r="B8" s="81" t="s">
        <v>118</v>
      </c>
      <c r="C8" s="24" t="s">
        <v>130</v>
      </c>
      <c r="D8" s="24" t="s">
        <v>131</v>
      </c>
      <c r="E8" s="24" t="s">
        <v>132</v>
      </c>
      <c r="F8" s="24" t="s">
        <v>133</v>
      </c>
    </row>
    <row r="9" spans="1:6" x14ac:dyDescent="0.35">
      <c r="A9" s="60">
        <v>1</v>
      </c>
      <c r="B9" s="61" t="str">
        <f>B4</f>
        <v>Agente de Portaria</v>
      </c>
      <c r="C9" s="55">
        <f>C4</f>
        <v>1</v>
      </c>
      <c r="D9" s="32">
        <v>20</v>
      </c>
      <c r="E9" s="32">
        <f>'Hr-Extra Agente de Portaria'!D90</f>
        <v>23.4</v>
      </c>
      <c r="F9" s="32">
        <f t="shared" ref="F9" si="1">ROUND(C9*D9*E9,2)</f>
        <v>468</v>
      </c>
    </row>
    <row r="10" spans="1:6" x14ac:dyDescent="0.35">
      <c r="A10" s="158" t="s">
        <v>134</v>
      </c>
      <c r="B10" s="158"/>
      <c r="C10" s="51">
        <f>ROUND(SUM(C9:C9),2)</f>
        <v>1</v>
      </c>
      <c r="D10" s="51">
        <f>ROUND(SUM(D9:D9),2)</f>
        <v>20</v>
      </c>
      <c r="E10" s="52">
        <f>ROUND(SUM(E9:E9),2)</f>
        <v>23.4</v>
      </c>
      <c r="F10" s="52">
        <f>ROUND(SUM(F9:F9),2)</f>
        <v>468</v>
      </c>
    </row>
    <row r="11" spans="1:6" ht="8" customHeight="1" x14ac:dyDescent="0.35"/>
    <row r="12" spans="1:6" x14ac:dyDescent="0.35">
      <c r="A12" s="162" t="s">
        <v>135</v>
      </c>
      <c r="B12" s="163"/>
      <c r="C12" s="163"/>
      <c r="D12" s="163"/>
      <c r="E12" s="164"/>
      <c r="F12" s="52">
        <f>ROUND(F5+F10,2)</f>
        <v>1170</v>
      </c>
    </row>
    <row r="13" spans="1:6" x14ac:dyDescent="0.35">
      <c r="A13" s="162" t="s">
        <v>136</v>
      </c>
      <c r="B13" s="163"/>
      <c r="C13" s="163"/>
      <c r="D13" s="163"/>
      <c r="E13" s="164"/>
      <c r="F13" s="52">
        <f>ROUND(F12/12,2)</f>
        <v>97.5</v>
      </c>
    </row>
  </sheetData>
  <mergeCells count="7">
    <mergeCell ref="A13:E13"/>
    <mergeCell ref="A2:F2"/>
    <mergeCell ref="A1:F1"/>
    <mergeCell ref="A5:B5"/>
    <mergeCell ref="A7:F7"/>
    <mergeCell ref="A10:B10"/>
    <mergeCell ref="A12:E12"/>
  </mergeCells>
  <pageMargins left="0.51181102362204722" right="0.51181102362204722" top="0.78740157480314965" bottom="0.78740157480314965" header="0.31496062992125984" footer="0.31496062992125984"/>
  <pageSetup paperSize="9" scale="95" fitToHeight="0" orientation="portrait" r:id="rId1"/>
  <headerFooter>
    <oddFooter>&amp;CPágina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CB6DC-6D3B-4D30-96C5-4C5F91E5D3F4}">
  <sheetPr codeName="Planilha14">
    <pageSetUpPr fitToPage="1"/>
  </sheetPr>
  <dimension ref="A1:D106"/>
  <sheetViews>
    <sheetView view="pageBreakPreview" zoomScaleNormal="100" zoomScaleSheetLayoutView="100" workbookViewId="0">
      <selection activeCell="A13" sqref="A13:I13"/>
    </sheetView>
  </sheetViews>
  <sheetFormatPr defaultRowHeight="14.5" x14ac:dyDescent="0.35"/>
  <cols>
    <col min="1" max="1" width="33.453125" customWidth="1"/>
    <col min="2" max="2" width="14.54296875" customWidth="1"/>
    <col min="3" max="3" width="10.81640625" customWidth="1"/>
    <col min="4" max="4" width="12.26953125" customWidth="1"/>
  </cols>
  <sheetData>
    <row r="1" spans="1:4" ht="27.5" customHeight="1" x14ac:dyDescent="0.35">
      <c r="A1" s="132" t="s">
        <v>187</v>
      </c>
      <c r="B1" s="132"/>
      <c r="C1" s="132"/>
      <c r="D1" s="132"/>
    </row>
    <row r="2" spans="1:4" ht="30.5" customHeight="1" x14ac:dyDescent="0.35">
      <c r="A2" s="22" t="s">
        <v>2</v>
      </c>
      <c r="B2" s="133" t="str">
        <f>'Agente de Portaria'!B2:D2</f>
        <v>Agente de Portaria</v>
      </c>
      <c r="C2" s="134"/>
      <c r="D2" s="135"/>
    </row>
    <row r="3" spans="1:4" ht="15" customHeight="1" x14ac:dyDescent="0.35">
      <c r="A3" s="22" t="s">
        <v>61</v>
      </c>
      <c r="B3" s="136" t="str">
        <f>'Agente de Portaria'!B3:D3</f>
        <v>5174-10</v>
      </c>
      <c r="C3" s="137"/>
      <c r="D3" s="138"/>
    </row>
    <row r="4" spans="1:4" ht="15" customHeight="1" x14ac:dyDescent="0.35">
      <c r="A4" s="23" t="s">
        <v>1</v>
      </c>
      <c r="B4" s="133" t="s">
        <v>119</v>
      </c>
      <c r="C4" s="134"/>
      <c r="D4" s="135"/>
    </row>
    <row r="5" spans="1:4" ht="26" x14ac:dyDescent="0.35">
      <c r="A5" s="23" t="s">
        <v>3</v>
      </c>
      <c r="B5" s="139">
        <v>1</v>
      </c>
      <c r="C5" s="137"/>
      <c r="D5" s="138"/>
    </row>
    <row r="6" spans="1:4" ht="65.5" customHeight="1" x14ac:dyDescent="0.35">
      <c r="A6" s="23" t="s">
        <v>62</v>
      </c>
      <c r="B6" s="133" t="str">
        <f>'Agente de Portaria'!B6:D6</f>
        <v>Convenção Coletiva de Trabalho (CCT) - Nº Registro no MTE: AM000042/2021;
Termo Aditivo a Convenção Coletiva de Trabalho (TACCT) - Nº Registro no MTE: AM000067/2022 e AM000399/2022.</v>
      </c>
      <c r="C6" s="134"/>
      <c r="D6" s="135"/>
    </row>
    <row r="7" spans="1:4" ht="15" customHeight="1" x14ac:dyDescent="0.35">
      <c r="A7" s="2"/>
      <c r="B7" s="15"/>
      <c r="C7" s="2"/>
      <c r="D7" s="2"/>
    </row>
    <row r="8" spans="1:4" x14ac:dyDescent="0.35">
      <c r="A8" s="142" t="s">
        <v>4</v>
      </c>
      <c r="B8" s="142"/>
      <c r="C8" s="142"/>
      <c r="D8" s="142"/>
    </row>
    <row r="9" spans="1:4" x14ac:dyDescent="0.35">
      <c r="A9" s="141" t="s">
        <v>69</v>
      </c>
      <c r="B9" s="143"/>
      <c r="C9" s="143"/>
      <c r="D9" s="144"/>
    </row>
    <row r="10" spans="1:4" x14ac:dyDescent="0.35">
      <c r="A10" s="145" t="s">
        <v>5</v>
      </c>
      <c r="B10" s="146"/>
      <c r="C10" s="24" t="s">
        <v>6</v>
      </c>
      <c r="D10" s="24" t="s">
        <v>7</v>
      </c>
    </row>
    <row r="11" spans="1:4" ht="40.5" customHeight="1" x14ac:dyDescent="0.35">
      <c r="A11" s="98" t="s">
        <v>8</v>
      </c>
      <c r="B11" s="100"/>
      <c r="C11" s="21" t="s">
        <v>60</v>
      </c>
      <c r="D11" s="3">
        <f>'Agente de Portaria'!D11</f>
        <v>1300.08</v>
      </c>
    </row>
    <row r="12" spans="1:4" ht="15" customHeight="1" x14ac:dyDescent="0.35">
      <c r="A12" s="147" t="s">
        <v>66</v>
      </c>
      <c r="B12" s="148"/>
      <c r="C12" s="49"/>
      <c r="D12" s="38">
        <f>C12*D11/100</f>
        <v>0</v>
      </c>
    </row>
    <row r="13" spans="1:4" x14ac:dyDescent="0.35">
      <c r="A13" s="140" t="s">
        <v>20</v>
      </c>
      <c r="B13" s="140"/>
      <c r="C13" s="140"/>
      <c r="D13" s="28">
        <f>ROUND(SUM(D11:D12),2)</f>
        <v>1300.08</v>
      </c>
    </row>
    <row r="14" spans="1:4" x14ac:dyDescent="0.35">
      <c r="A14" s="2"/>
      <c r="B14" s="2"/>
      <c r="C14" s="2"/>
      <c r="D14" s="2"/>
    </row>
    <row r="15" spans="1:4" x14ac:dyDescent="0.35">
      <c r="A15" s="119" t="s">
        <v>70</v>
      </c>
      <c r="B15" s="119"/>
      <c r="C15" s="119"/>
      <c r="D15" s="119"/>
    </row>
    <row r="16" spans="1:4" x14ac:dyDescent="0.35">
      <c r="A16" s="119" t="s">
        <v>10</v>
      </c>
      <c r="B16" s="119"/>
      <c r="C16" s="24" t="s">
        <v>6</v>
      </c>
      <c r="D16" s="24" t="s">
        <v>7</v>
      </c>
    </row>
    <row r="17" spans="1:4" x14ac:dyDescent="0.35">
      <c r="A17" s="98" t="s">
        <v>11</v>
      </c>
      <c r="B17" s="100"/>
      <c r="C17" s="10">
        <v>0.2</v>
      </c>
      <c r="D17" s="4">
        <f>ROUND($D$13*C17,2)</f>
        <v>260.02</v>
      </c>
    </row>
    <row r="18" spans="1:4" x14ac:dyDescent="0.35">
      <c r="A18" s="120" t="s">
        <v>12</v>
      </c>
      <c r="B18" s="121"/>
      <c r="C18" s="48">
        <v>0.08</v>
      </c>
      <c r="D18" s="38">
        <f t="shared" ref="D18:D24" si="0">ROUND($D$13*C18,2)</f>
        <v>104.01</v>
      </c>
    </row>
    <row r="19" spans="1:4" x14ac:dyDescent="0.35">
      <c r="A19" s="98" t="s">
        <v>13</v>
      </c>
      <c r="B19" s="100"/>
      <c r="C19" s="10">
        <v>1.4999999999999999E-2</v>
      </c>
      <c r="D19" s="4">
        <f t="shared" si="0"/>
        <v>19.5</v>
      </c>
    </row>
    <row r="20" spans="1:4" ht="25.5" customHeight="1" x14ac:dyDescent="0.35">
      <c r="A20" s="120" t="s">
        <v>14</v>
      </c>
      <c r="B20" s="121"/>
      <c r="C20" s="48">
        <v>0.01</v>
      </c>
      <c r="D20" s="38">
        <f t="shared" si="0"/>
        <v>13</v>
      </c>
    </row>
    <row r="21" spans="1:4" ht="28.5" customHeight="1" x14ac:dyDescent="0.35">
      <c r="A21" s="98" t="s">
        <v>15</v>
      </c>
      <c r="B21" s="100"/>
      <c r="C21" s="10">
        <v>2E-3</v>
      </c>
      <c r="D21" s="4">
        <f t="shared" si="0"/>
        <v>2.6</v>
      </c>
    </row>
    <row r="22" spans="1:4" x14ac:dyDescent="0.35">
      <c r="A22" s="120" t="s">
        <v>16</v>
      </c>
      <c r="B22" s="121"/>
      <c r="C22" s="48">
        <v>6.0000000000000001E-3</v>
      </c>
      <c r="D22" s="38">
        <f t="shared" si="0"/>
        <v>7.8</v>
      </c>
    </row>
    <row r="23" spans="1:4" x14ac:dyDescent="0.35">
      <c r="A23" s="130" t="s">
        <v>17</v>
      </c>
      <c r="B23" s="131"/>
      <c r="C23" s="10">
        <v>2.5000000000000001E-2</v>
      </c>
      <c r="D23" s="4">
        <f t="shared" si="0"/>
        <v>32.5</v>
      </c>
    </row>
    <row r="24" spans="1:4" ht="39.75" customHeight="1" x14ac:dyDescent="0.35">
      <c r="A24" s="147" t="s">
        <v>18</v>
      </c>
      <c r="B24" s="148"/>
      <c r="C24" s="75">
        <f>'Agente de Portaria'!C24</f>
        <v>0.06</v>
      </c>
      <c r="D24" s="38">
        <f t="shared" si="0"/>
        <v>78</v>
      </c>
    </row>
    <row r="25" spans="1:4" x14ac:dyDescent="0.35">
      <c r="A25" s="116" t="s">
        <v>19</v>
      </c>
      <c r="B25" s="117"/>
      <c r="C25" s="29">
        <f>ROUND(SUM(C17:C24),5)</f>
        <v>0.39800000000000002</v>
      </c>
      <c r="D25" s="28">
        <f>ROUND(SUM(D17:D24),2)</f>
        <v>517.42999999999995</v>
      </c>
    </row>
    <row r="26" spans="1:4" x14ac:dyDescent="0.35">
      <c r="A26" s="19"/>
      <c r="B26" s="19"/>
      <c r="C26" s="5"/>
      <c r="D26" s="6"/>
    </row>
    <row r="27" spans="1:4" x14ac:dyDescent="0.35">
      <c r="A27" s="119" t="s">
        <v>21</v>
      </c>
      <c r="B27" s="119"/>
      <c r="C27" s="24" t="s">
        <v>6</v>
      </c>
      <c r="D27" s="24" t="s">
        <v>7</v>
      </c>
    </row>
    <row r="28" spans="1:4" ht="25" customHeight="1" x14ac:dyDescent="0.35">
      <c r="A28" s="130" t="s">
        <v>22</v>
      </c>
      <c r="B28" s="131"/>
      <c r="C28" s="8">
        <f>ROUND(1/12,5)</f>
        <v>8.3330000000000001E-2</v>
      </c>
      <c r="D28" s="4">
        <f>ROUND($D$13*C28,2)</f>
        <v>108.34</v>
      </c>
    </row>
    <row r="29" spans="1:4" ht="25" customHeight="1" x14ac:dyDescent="0.35">
      <c r="A29" s="120" t="s">
        <v>174</v>
      </c>
      <c r="B29" s="121"/>
      <c r="C29" s="47">
        <f>ROUND((1/3)/12,5)</f>
        <v>2.7779999999999999E-2</v>
      </c>
      <c r="D29" s="38">
        <f t="shared" ref="D29:D36" si="1">ROUND($D$13*C29,2)</f>
        <v>36.119999999999997</v>
      </c>
    </row>
    <row r="30" spans="1:4" ht="25" customHeight="1" x14ac:dyDescent="0.35">
      <c r="A30" s="98" t="s">
        <v>23</v>
      </c>
      <c r="B30" s="100"/>
      <c r="C30" s="9">
        <f>ROUND((((100% / 30) * 7) / 12),5)</f>
        <v>1.9439999999999999E-2</v>
      </c>
      <c r="D30" s="4">
        <f t="shared" si="1"/>
        <v>25.27</v>
      </c>
    </row>
    <row r="31" spans="1:4" ht="25" customHeight="1" x14ac:dyDescent="0.35">
      <c r="A31" s="120" t="s">
        <v>24</v>
      </c>
      <c r="B31" s="121"/>
      <c r="C31" s="47">
        <f>ROUND((5/30)/12,5)</f>
        <v>1.389E-2</v>
      </c>
      <c r="D31" s="38">
        <f t="shared" si="1"/>
        <v>18.059999999999999</v>
      </c>
    </row>
    <row r="32" spans="1:4" ht="25" customHeight="1" x14ac:dyDescent="0.35">
      <c r="A32" s="98" t="s">
        <v>25</v>
      </c>
      <c r="B32" s="100"/>
      <c r="C32" s="9">
        <f>ROUND(((15/30/12)*0.08),5)</f>
        <v>3.3300000000000001E-3</v>
      </c>
      <c r="D32" s="4">
        <f t="shared" si="1"/>
        <v>4.33</v>
      </c>
    </row>
    <row r="33" spans="1:4" ht="25" customHeight="1" x14ac:dyDescent="0.35">
      <c r="A33" s="120" t="s">
        <v>26</v>
      </c>
      <c r="B33" s="121"/>
      <c r="C33" s="47">
        <f>ROUND((1/30)/12,5)</f>
        <v>2.7799999999999999E-3</v>
      </c>
      <c r="D33" s="38">
        <f t="shared" si="1"/>
        <v>3.61</v>
      </c>
    </row>
    <row r="34" spans="1:4" ht="25" customHeight="1" x14ac:dyDescent="0.35">
      <c r="A34" s="98" t="s">
        <v>27</v>
      </c>
      <c r="B34" s="100"/>
      <c r="C34" s="9">
        <f>ROUND(0.1111*0.02*0.333,5)</f>
        <v>7.3999999999999999E-4</v>
      </c>
      <c r="D34" s="4">
        <f t="shared" si="1"/>
        <v>0.96</v>
      </c>
    </row>
    <row r="35" spans="1:4" ht="25" customHeight="1" x14ac:dyDescent="0.35">
      <c r="A35" s="120" t="s">
        <v>28</v>
      </c>
      <c r="B35" s="121"/>
      <c r="C35" s="47">
        <f>ROUND(((5/30)/12)*0.015,5)</f>
        <v>2.1000000000000001E-4</v>
      </c>
      <c r="D35" s="38">
        <f t="shared" si="1"/>
        <v>0.27</v>
      </c>
    </row>
    <row r="36" spans="1:4" ht="25" customHeight="1" x14ac:dyDescent="0.35">
      <c r="A36" s="98" t="s">
        <v>175</v>
      </c>
      <c r="B36" s="100"/>
      <c r="C36" s="9">
        <f>ROUND(1/12,5)</f>
        <v>8.3330000000000001E-2</v>
      </c>
      <c r="D36" s="4">
        <f t="shared" si="1"/>
        <v>108.34</v>
      </c>
    </row>
    <row r="37" spans="1:4" x14ac:dyDescent="0.35">
      <c r="A37" s="116" t="s">
        <v>29</v>
      </c>
      <c r="B37" s="117"/>
      <c r="C37" s="29">
        <f>ROUND(SUM(C28:C36),5)</f>
        <v>0.23483000000000001</v>
      </c>
      <c r="D37" s="28">
        <f>ROUND(SUM(D28:D36),2)</f>
        <v>305.3</v>
      </c>
    </row>
    <row r="38" spans="1:4" x14ac:dyDescent="0.35">
      <c r="A38" s="19"/>
      <c r="B38" s="19"/>
      <c r="C38" s="7"/>
      <c r="D38" s="6"/>
    </row>
    <row r="39" spans="1:4" x14ac:dyDescent="0.35">
      <c r="A39" s="126" t="s">
        <v>30</v>
      </c>
      <c r="B39" s="127"/>
      <c r="C39" s="24" t="s">
        <v>6</v>
      </c>
      <c r="D39" s="24" t="s">
        <v>7</v>
      </c>
    </row>
    <row r="40" spans="1:4" ht="25" customHeight="1" x14ac:dyDescent="0.35">
      <c r="A40" s="128" t="s">
        <v>31</v>
      </c>
      <c r="B40" s="129"/>
      <c r="C40" s="11">
        <f>ROUND(1/12*5%,5)</f>
        <v>4.1700000000000001E-3</v>
      </c>
      <c r="D40" s="50">
        <f>ROUND($D$13*C40,2)</f>
        <v>5.42</v>
      </c>
    </row>
    <row r="41" spans="1:4" ht="25" customHeight="1" x14ac:dyDescent="0.35">
      <c r="A41" s="120" t="s">
        <v>32</v>
      </c>
      <c r="B41" s="121"/>
      <c r="C41" s="46">
        <f>ROUND(0.02*(1/12),5)</f>
        <v>1.67E-3</v>
      </c>
      <c r="D41" s="38">
        <f>ROUND($D$13*C41,2)</f>
        <v>2.17</v>
      </c>
    </row>
    <row r="42" spans="1:4" ht="25" customHeight="1" x14ac:dyDescent="0.35">
      <c r="A42" s="128" t="s">
        <v>33</v>
      </c>
      <c r="B42" s="129"/>
      <c r="C42" s="14">
        <f>ROUND(40%*8%,5)</f>
        <v>3.2000000000000001E-2</v>
      </c>
      <c r="D42" s="50">
        <f>ROUND($D$13*C42,2)</f>
        <v>41.6</v>
      </c>
    </row>
    <row r="43" spans="1:4" x14ac:dyDescent="0.35">
      <c r="A43" s="116" t="s">
        <v>34</v>
      </c>
      <c r="B43" s="117"/>
      <c r="C43" s="29">
        <f>ROUND(SUM(C40:C42),5)</f>
        <v>3.7839999999999999E-2</v>
      </c>
      <c r="D43" s="28">
        <f>ROUND(SUM(D40:D42),2)</f>
        <v>49.19</v>
      </c>
    </row>
    <row r="44" spans="1:4" x14ac:dyDescent="0.35">
      <c r="A44" s="19"/>
      <c r="B44" s="19"/>
      <c r="C44" s="7"/>
      <c r="D44" s="6"/>
    </row>
    <row r="45" spans="1:4" x14ac:dyDescent="0.35">
      <c r="A45" s="126" t="s">
        <v>35</v>
      </c>
      <c r="B45" s="127"/>
      <c r="C45" s="24" t="s">
        <v>6</v>
      </c>
      <c r="D45" s="24" t="s">
        <v>7</v>
      </c>
    </row>
    <row r="46" spans="1:4" ht="29" customHeight="1" x14ac:dyDescent="0.35">
      <c r="A46" s="98" t="s">
        <v>36</v>
      </c>
      <c r="B46" s="100"/>
      <c r="C46" s="13">
        <f>ROUND(C25*C37,5)</f>
        <v>9.3460000000000001E-2</v>
      </c>
      <c r="D46" s="4">
        <f>ROUND($D$13*C46,2)</f>
        <v>121.51</v>
      </c>
    </row>
    <row r="47" spans="1:4" x14ac:dyDescent="0.35">
      <c r="A47" s="116" t="s">
        <v>37</v>
      </c>
      <c r="B47" s="117"/>
      <c r="C47" s="29">
        <f>ROUND(SUM(C46),5)</f>
        <v>9.3460000000000001E-2</v>
      </c>
      <c r="D47" s="28">
        <f>ROUND(SUM(D46),2)</f>
        <v>121.51</v>
      </c>
    </row>
    <row r="48" spans="1:4" x14ac:dyDescent="0.35">
      <c r="A48" s="19"/>
      <c r="B48" s="19"/>
      <c r="C48" s="7"/>
      <c r="D48" s="6"/>
    </row>
    <row r="49" spans="1:4" x14ac:dyDescent="0.35">
      <c r="A49" s="126" t="s">
        <v>38</v>
      </c>
      <c r="B49" s="127"/>
      <c r="C49" s="24" t="s">
        <v>6</v>
      </c>
      <c r="D49" s="24" t="s">
        <v>7</v>
      </c>
    </row>
    <row r="50" spans="1:4" ht="65.5" customHeight="1" x14ac:dyDescent="0.35">
      <c r="A50" s="98" t="s">
        <v>39</v>
      </c>
      <c r="B50" s="100"/>
      <c r="C50" s="14">
        <f>ROUND(8%*C40,5)</f>
        <v>3.3E-4</v>
      </c>
      <c r="D50" s="4">
        <f>ROUND($D$13*C50,2)</f>
        <v>0.43</v>
      </c>
    </row>
    <row r="51" spans="1:4" x14ac:dyDescent="0.35">
      <c r="A51" s="116" t="s">
        <v>40</v>
      </c>
      <c r="B51" s="117"/>
      <c r="C51" s="29">
        <f>ROUND(SUM(C50:C50),5)</f>
        <v>3.3E-4</v>
      </c>
      <c r="D51" s="28">
        <f>ROUND(SUM(D50:D50),2)</f>
        <v>0.43</v>
      </c>
    </row>
    <row r="52" spans="1:4" x14ac:dyDescent="0.35">
      <c r="A52" s="19"/>
      <c r="B52" s="19"/>
      <c r="C52" s="7"/>
      <c r="D52" s="6"/>
    </row>
    <row r="53" spans="1:4" x14ac:dyDescent="0.35">
      <c r="A53" s="126" t="s">
        <v>41</v>
      </c>
      <c r="B53" s="127"/>
      <c r="C53" s="24" t="s">
        <v>6</v>
      </c>
      <c r="D53" s="24" t="s">
        <v>7</v>
      </c>
    </row>
    <row r="54" spans="1:4" ht="106.5" customHeight="1" x14ac:dyDescent="0.35">
      <c r="A54" s="98" t="s">
        <v>42</v>
      </c>
      <c r="B54" s="100"/>
      <c r="C54" s="13">
        <f>ROUND(C25*(13/12)*(4/12)*2/100,5)</f>
        <v>2.8700000000000002E-3</v>
      </c>
      <c r="D54" s="4">
        <f>ROUND($D$13*C54,2)</f>
        <v>3.73</v>
      </c>
    </row>
    <row r="55" spans="1:4" x14ac:dyDescent="0.35">
      <c r="A55" s="116" t="s">
        <v>43</v>
      </c>
      <c r="B55" s="117"/>
      <c r="C55" s="29">
        <f>ROUND(SUM(C54),5)</f>
        <v>2.8700000000000002E-3</v>
      </c>
      <c r="D55" s="28">
        <f>ROUND(SUM(D54),2)</f>
        <v>3.73</v>
      </c>
    </row>
    <row r="56" spans="1:4" x14ac:dyDescent="0.35">
      <c r="A56" s="116" t="s">
        <v>44</v>
      </c>
      <c r="B56" s="117"/>
      <c r="C56" s="29">
        <f>ROUND(C25+C37+C43+C47+C51+C55,5)</f>
        <v>0.76732999999999996</v>
      </c>
      <c r="D56" s="28">
        <f>ROUND(D25+D37+D43+D47+D51+D55,2)</f>
        <v>997.59</v>
      </c>
    </row>
    <row r="57" spans="1:4" ht="15" customHeight="1" x14ac:dyDescent="0.35">
      <c r="A57" s="19"/>
      <c r="B57" s="19"/>
      <c r="C57" s="7"/>
      <c r="D57" s="6"/>
    </row>
    <row r="58" spans="1:4" ht="15" customHeight="1" x14ac:dyDescent="0.35">
      <c r="A58" s="116" t="s">
        <v>45</v>
      </c>
      <c r="B58" s="118"/>
      <c r="C58" s="117"/>
      <c r="D58" s="28">
        <f>D13+D56</f>
        <v>2297.67</v>
      </c>
    </row>
    <row r="59" spans="1:4" ht="15" customHeight="1" x14ac:dyDescent="0.35">
      <c r="A59" s="2"/>
      <c r="B59" s="2"/>
      <c r="C59" s="2"/>
      <c r="D59" s="2"/>
    </row>
    <row r="60" spans="1:4" ht="15" customHeight="1" x14ac:dyDescent="0.35">
      <c r="A60" s="119" t="s">
        <v>71</v>
      </c>
      <c r="B60" s="119"/>
      <c r="C60" s="119"/>
      <c r="D60" s="119"/>
    </row>
    <row r="61" spans="1:4" x14ac:dyDescent="0.35">
      <c r="A61" s="119" t="s">
        <v>46</v>
      </c>
      <c r="B61" s="119"/>
      <c r="C61" s="24" t="s">
        <v>161</v>
      </c>
      <c r="D61" s="25" t="s">
        <v>7</v>
      </c>
    </row>
    <row r="62" spans="1:4" ht="99.5" customHeight="1" x14ac:dyDescent="0.35">
      <c r="A62" s="122" t="s">
        <v>88</v>
      </c>
      <c r="B62" s="122"/>
      <c r="C62" s="32">
        <v>15</v>
      </c>
      <c r="D62" s="32">
        <f>ROUND(C62*4,2)</f>
        <v>60</v>
      </c>
    </row>
    <row r="63" spans="1:4" ht="53.5" customHeight="1" x14ac:dyDescent="0.35">
      <c r="A63" s="123" t="s">
        <v>89</v>
      </c>
      <c r="B63" s="123"/>
      <c r="C63" s="76">
        <v>0.1</v>
      </c>
      <c r="D63" s="45">
        <f>ROUND(D62*C63,2)*-1</f>
        <v>-6</v>
      </c>
    </row>
    <row r="64" spans="1:4" ht="15" customHeight="1" x14ac:dyDescent="0.35">
      <c r="A64" s="140" t="s">
        <v>48</v>
      </c>
      <c r="B64" s="140"/>
      <c r="C64" s="140"/>
      <c r="D64" s="28">
        <f>ROUND(SUM(D62:D63),2)</f>
        <v>54</v>
      </c>
    </row>
    <row r="65" spans="1:4" x14ac:dyDescent="0.35">
      <c r="A65" s="19"/>
      <c r="B65" s="19"/>
      <c r="C65" s="19"/>
      <c r="D65" s="6"/>
    </row>
    <row r="66" spans="1:4" ht="30" customHeight="1" x14ac:dyDescent="0.35">
      <c r="A66" s="116" t="s">
        <v>49</v>
      </c>
      <c r="B66" s="118"/>
      <c r="C66" s="117"/>
      <c r="D66" s="28">
        <f>ROUND(D58+D64,2)</f>
        <v>2351.67</v>
      </c>
    </row>
    <row r="67" spans="1:4" x14ac:dyDescent="0.35">
      <c r="A67" s="19"/>
      <c r="B67" s="19"/>
      <c r="C67" s="19"/>
      <c r="D67" s="6"/>
    </row>
    <row r="68" spans="1:4" x14ac:dyDescent="0.35">
      <c r="A68" s="119" t="s">
        <v>86</v>
      </c>
      <c r="B68" s="119"/>
      <c r="C68" s="119"/>
      <c r="D68" s="119"/>
    </row>
    <row r="69" spans="1:4" x14ac:dyDescent="0.35">
      <c r="A69" s="126" t="s">
        <v>50</v>
      </c>
      <c r="B69" s="127"/>
      <c r="C69" s="24" t="s">
        <v>6</v>
      </c>
      <c r="D69" s="24" t="s">
        <v>7</v>
      </c>
    </row>
    <row r="70" spans="1:4" s="1" customFormat="1" ht="30" customHeight="1" x14ac:dyDescent="0.3">
      <c r="A70" s="98" t="s">
        <v>51</v>
      </c>
      <c r="B70" s="100"/>
      <c r="C70" s="12">
        <v>0</v>
      </c>
      <c r="D70" s="17">
        <f>ROUND(D66*C70,2)</f>
        <v>0</v>
      </c>
    </row>
    <row r="71" spans="1:4" s="1" customFormat="1" ht="30" customHeight="1" x14ac:dyDescent="0.3">
      <c r="A71" s="120" t="s">
        <v>9</v>
      </c>
      <c r="B71" s="121"/>
      <c r="C71" s="37">
        <v>0</v>
      </c>
      <c r="D71" s="40">
        <f>ROUND(D66*C71,2)</f>
        <v>0</v>
      </c>
    </row>
    <row r="72" spans="1:4" x14ac:dyDescent="0.35">
      <c r="A72" s="116" t="s">
        <v>52</v>
      </c>
      <c r="B72" s="117"/>
      <c r="C72" s="30">
        <f>ROUND(SUM(C70:C71),5)</f>
        <v>0</v>
      </c>
      <c r="D72" s="28">
        <f>SUM(D70:D71)</f>
        <v>0</v>
      </c>
    </row>
    <row r="73" spans="1:4" x14ac:dyDescent="0.35">
      <c r="A73" s="19"/>
      <c r="B73" s="19"/>
      <c r="C73" s="5"/>
      <c r="D73" s="6"/>
    </row>
    <row r="74" spans="1:4" ht="30" customHeight="1" x14ac:dyDescent="0.35">
      <c r="A74" s="116" t="s">
        <v>72</v>
      </c>
      <c r="B74" s="118"/>
      <c r="C74" s="117"/>
      <c r="D74" s="28">
        <f>ROUND(D66+D72,2)</f>
        <v>2351.67</v>
      </c>
    </row>
    <row r="75" spans="1:4" x14ac:dyDescent="0.35">
      <c r="A75" s="19"/>
      <c r="B75" s="19"/>
      <c r="C75" s="19"/>
      <c r="D75" s="6"/>
    </row>
    <row r="76" spans="1:4" ht="35.25" customHeight="1" x14ac:dyDescent="0.35">
      <c r="A76" s="153" t="s">
        <v>63</v>
      </c>
      <c r="B76" s="153"/>
      <c r="C76" s="29">
        <f>ROUND(1-(SUM(C79:C81)/1),5)</f>
        <v>0.91349999999999998</v>
      </c>
      <c r="D76" s="28">
        <f>ROUND(D74/C76,2)</f>
        <v>2574.35</v>
      </c>
    </row>
    <row r="77" spans="1:4" x14ac:dyDescent="0.35">
      <c r="A77" s="2"/>
      <c r="B77" s="2"/>
      <c r="C77" s="2"/>
      <c r="D77" s="2"/>
    </row>
    <row r="78" spans="1:4" x14ac:dyDescent="0.35">
      <c r="A78" s="126" t="s">
        <v>53</v>
      </c>
      <c r="B78" s="127"/>
      <c r="C78" s="24" t="s">
        <v>6</v>
      </c>
      <c r="D78" s="24" t="s">
        <v>7</v>
      </c>
    </row>
    <row r="79" spans="1:4" ht="22" customHeight="1" x14ac:dyDescent="0.35">
      <c r="A79" s="98" t="s">
        <v>54</v>
      </c>
      <c r="B79" s="100"/>
      <c r="C79" s="12">
        <v>0.05</v>
      </c>
      <c r="D79" s="4">
        <f>ROUND($D$76*C79,2)</f>
        <v>128.72</v>
      </c>
    </row>
    <row r="80" spans="1:4" ht="22" customHeight="1" x14ac:dyDescent="0.35">
      <c r="A80" s="120" t="s">
        <v>55</v>
      </c>
      <c r="B80" s="121"/>
      <c r="C80" s="37">
        <v>0.03</v>
      </c>
      <c r="D80" s="38">
        <f>ROUND($D$76*C80,2)</f>
        <v>77.23</v>
      </c>
    </row>
    <row r="81" spans="1:4" ht="22" customHeight="1" x14ac:dyDescent="0.35">
      <c r="A81" s="98" t="s">
        <v>56</v>
      </c>
      <c r="B81" s="100"/>
      <c r="C81" s="12">
        <v>6.4999999999999997E-3</v>
      </c>
      <c r="D81" s="4">
        <f>ROUND($D$76*C81,2)</f>
        <v>16.73</v>
      </c>
    </row>
    <row r="82" spans="1:4" x14ac:dyDescent="0.35">
      <c r="A82" s="116" t="s">
        <v>57</v>
      </c>
      <c r="B82" s="117"/>
      <c r="C82" s="29">
        <f>ROUND(SUM(C79:C81),5)</f>
        <v>8.6499999999999994E-2</v>
      </c>
      <c r="D82" s="28">
        <f>ROUND(SUM(D79:D81),2)</f>
        <v>222.68</v>
      </c>
    </row>
    <row r="83" spans="1:4" ht="10" customHeight="1" x14ac:dyDescent="0.35">
      <c r="A83" s="2"/>
      <c r="B83" s="2"/>
      <c r="C83" s="2"/>
      <c r="D83" s="2"/>
    </row>
    <row r="84" spans="1:4" ht="25" customHeight="1" x14ac:dyDescent="0.35">
      <c r="A84" s="116" t="s">
        <v>58</v>
      </c>
      <c r="B84" s="118"/>
      <c r="C84" s="117"/>
      <c r="D84" s="28">
        <f>ROUND(D74+D82,2)</f>
        <v>2574.35</v>
      </c>
    </row>
    <row r="85" spans="1:4" ht="25" customHeight="1" x14ac:dyDescent="0.35">
      <c r="A85" s="116" t="s">
        <v>64</v>
      </c>
      <c r="B85" s="118"/>
      <c r="C85" s="117"/>
      <c r="D85" s="28">
        <f>ROUND(D84*12,2)</f>
        <v>30892.2</v>
      </c>
    </row>
    <row r="86" spans="1:4" ht="10" customHeight="1" x14ac:dyDescent="0.35">
      <c r="A86" s="19"/>
      <c r="B86" s="19"/>
      <c r="C86" s="19"/>
      <c r="D86" s="6"/>
    </row>
    <row r="87" spans="1:4" ht="15" customHeight="1" x14ac:dyDescent="0.35">
      <c r="A87" s="119" t="s">
        <v>188</v>
      </c>
      <c r="B87" s="119"/>
      <c r="C87" s="119"/>
      <c r="D87" s="119"/>
    </row>
    <row r="88" spans="1:4" ht="15" customHeight="1" x14ac:dyDescent="0.35">
      <c r="A88" s="166" t="s">
        <v>83</v>
      </c>
      <c r="B88" s="167"/>
      <c r="C88" s="168"/>
      <c r="D88" s="87">
        <f>ROUND(D84/220,2)</f>
        <v>11.7</v>
      </c>
    </row>
    <row r="89" spans="1:4" ht="15" customHeight="1" x14ac:dyDescent="0.35">
      <c r="A89" s="166" t="s">
        <v>84</v>
      </c>
      <c r="B89" s="167"/>
      <c r="C89" s="168"/>
      <c r="D89" s="18">
        <f>ROUND((D88*50%)+D88,2)</f>
        <v>17.55</v>
      </c>
    </row>
    <row r="90" spans="1:4" ht="15" customHeight="1" x14ac:dyDescent="0.35">
      <c r="A90" s="166" t="s">
        <v>85</v>
      </c>
      <c r="B90" s="167"/>
      <c r="C90" s="168"/>
      <c r="D90" s="18">
        <f>ROUND((D88*100%)+D88,2)</f>
        <v>23.4</v>
      </c>
    </row>
    <row r="91" spans="1:4" ht="10" customHeight="1" x14ac:dyDescent="0.35">
      <c r="A91" s="19"/>
      <c r="B91" s="19"/>
      <c r="C91" s="19"/>
      <c r="D91" s="6"/>
    </row>
    <row r="92" spans="1:4" ht="15" customHeight="1" x14ac:dyDescent="0.35">
      <c r="A92" s="119" t="s">
        <v>59</v>
      </c>
      <c r="B92" s="119"/>
      <c r="C92" s="119"/>
      <c r="D92" s="26" t="s">
        <v>6</v>
      </c>
    </row>
    <row r="93" spans="1:4" ht="15" customHeight="1" x14ac:dyDescent="0.35">
      <c r="A93" s="114" t="s">
        <v>73</v>
      </c>
      <c r="B93" s="114"/>
      <c r="C93" s="114"/>
      <c r="D93" s="16">
        <f>C25</f>
        <v>0.39800000000000002</v>
      </c>
    </row>
    <row r="94" spans="1:4" ht="15" customHeight="1" x14ac:dyDescent="0.35">
      <c r="A94" s="115" t="s">
        <v>29</v>
      </c>
      <c r="B94" s="115"/>
      <c r="C94" s="115"/>
      <c r="D94" s="39">
        <f>C37</f>
        <v>0.23483000000000001</v>
      </c>
    </row>
    <row r="95" spans="1:4" ht="15" customHeight="1" x14ac:dyDescent="0.35">
      <c r="A95" s="114" t="s">
        <v>34</v>
      </c>
      <c r="B95" s="114"/>
      <c r="C95" s="114"/>
      <c r="D95" s="16">
        <f>C43</f>
        <v>3.7839999999999999E-2</v>
      </c>
    </row>
    <row r="96" spans="1:4" ht="15" customHeight="1" x14ac:dyDescent="0.35">
      <c r="A96" s="115" t="s">
        <v>37</v>
      </c>
      <c r="B96" s="115"/>
      <c r="C96" s="115"/>
      <c r="D96" s="39">
        <f>C47</f>
        <v>9.3460000000000001E-2</v>
      </c>
    </row>
    <row r="97" spans="1:4" ht="15" customHeight="1" x14ac:dyDescent="0.35">
      <c r="A97" s="114" t="s">
        <v>40</v>
      </c>
      <c r="B97" s="114"/>
      <c r="C97" s="114"/>
      <c r="D97" s="16">
        <f>C51</f>
        <v>3.3E-4</v>
      </c>
    </row>
    <row r="98" spans="1:4" ht="15" customHeight="1" x14ac:dyDescent="0.35">
      <c r="A98" s="115" t="s">
        <v>43</v>
      </c>
      <c r="B98" s="115"/>
      <c r="C98" s="115"/>
      <c r="D98" s="39">
        <f>C55</f>
        <v>2.8700000000000002E-3</v>
      </c>
    </row>
    <row r="99" spans="1:4" ht="15" customHeight="1" x14ac:dyDescent="0.35">
      <c r="A99" s="154" t="s">
        <v>74</v>
      </c>
      <c r="B99" s="154"/>
      <c r="C99" s="154"/>
      <c r="D99" s="27">
        <f>ROUND(SUM(D93:D98),5)</f>
        <v>0.76732999999999996</v>
      </c>
    </row>
    <row r="100" spans="1:4" ht="10" customHeight="1" x14ac:dyDescent="0.35"/>
    <row r="101" spans="1:4" x14ac:dyDescent="0.35">
      <c r="A101" s="126" t="s">
        <v>178</v>
      </c>
      <c r="B101" s="127"/>
      <c r="C101" s="24" t="s">
        <v>179</v>
      </c>
      <c r="D101" s="26" t="s">
        <v>6</v>
      </c>
    </row>
    <row r="102" spans="1:4" x14ac:dyDescent="0.35">
      <c r="A102" s="130" t="s">
        <v>180</v>
      </c>
      <c r="B102" s="131"/>
      <c r="C102" s="84">
        <f>D13</f>
        <v>1300.08</v>
      </c>
      <c r="D102" s="16">
        <f>ROUND(C102/$C$106,5)</f>
        <v>0.50500999999999996</v>
      </c>
    </row>
    <row r="103" spans="1:4" ht="24.5" customHeight="1" x14ac:dyDescent="0.35">
      <c r="A103" s="147" t="s">
        <v>181</v>
      </c>
      <c r="B103" s="148"/>
      <c r="C103" s="85">
        <f>D56</f>
        <v>997.59</v>
      </c>
      <c r="D103" s="39">
        <f>ROUND(C103/$C$106,5)</f>
        <v>0.38751000000000002</v>
      </c>
    </row>
    <row r="104" spans="1:4" x14ac:dyDescent="0.35">
      <c r="A104" s="130" t="s">
        <v>182</v>
      </c>
      <c r="B104" s="131"/>
      <c r="C104" s="84">
        <f>D64</f>
        <v>54</v>
      </c>
      <c r="D104" s="16">
        <f>ROUND(C104/$C$106,5)</f>
        <v>2.0979999999999999E-2</v>
      </c>
    </row>
    <row r="105" spans="1:4" x14ac:dyDescent="0.35">
      <c r="A105" s="147" t="s">
        <v>183</v>
      </c>
      <c r="B105" s="148"/>
      <c r="C105" s="85">
        <f>ROUND(D72+D82,2)</f>
        <v>222.68</v>
      </c>
      <c r="D105" s="39">
        <f>ROUND(C105/$C$106,5)</f>
        <v>8.6499999999999994E-2</v>
      </c>
    </row>
    <row r="106" spans="1:4" x14ac:dyDescent="0.35">
      <c r="A106" s="149" t="s">
        <v>184</v>
      </c>
      <c r="B106" s="150"/>
      <c r="C106" s="86">
        <f>ROUND(SUM(C102:C105),2)</f>
        <v>2574.35</v>
      </c>
      <c r="D106" s="29">
        <f>ROUND(SUM(D102:D105),5)</f>
        <v>1</v>
      </c>
    </row>
  </sheetData>
  <mergeCells count="88">
    <mergeCell ref="A102:B102"/>
    <mergeCell ref="A103:B103"/>
    <mergeCell ref="A104:B104"/>
    <mergeCell ref="A105:B105"/>
    <mergeCell ref="A106:B106"/>
    <mergeCell ref="A87:D87"/>
    <mergeCell ref="A88:C88"/>
    <mergeCell ref="A89:C89"/>
    <mergeCell ref="A90:C90"/>
    <mergeCell ref="A95:C95"/>
    <mergeCell ref="A96:C96"/>
    <mergeCell ref="A97:C97"/>
    <mergeCell ref="A98:C98"/>
    <mergeCell ref="A99:C99"/>
    <mergeCell ref="A101:B101"/>
    <mergeCell ref="A82:B82"/>
    <mergeCell ref="A84:C84"/>
    <mergeCell ref="A85:C85"/>
    <mergeCell ref="A92:C92"/>
    <mergeCell ref="A93:C93"/>
    <mergeCell ref="A94:C94"/>
    <mergeCell ref="A72:B72"/>
    <mergeCell ref="A74:C74"/>
    <mergeCell ref="A76:B76"/>
    <mergeCell ref="A78:B78"/>
    <mergeCell ref="A79:B79"/>
    <mergeCell ref="A80:B80"/>
    <mergeCell ref="A81:B81"/>
    <mergeCell ref="A66:C66"/>
    <mergeCell ref="A68:D68"/>
    <mergeCell ref="A69:B69"/>
    <mergeCell ref="A70:B70"/>
    <mergeCell ref="A71:B71"/>
    <mergeCell ref="A64:C64"/>
    <mergeCell ref="A60:D60"/>
    <mergeCell ref="A61:B61"/>
    <mergeCell ref="A62:B62"/>
    <mergeCell ref="A63:B63"/>
    <mergeCell ref="A51:B51"/>
    <mergeCell ref="A53:B53"/>
    <mergeCell ref="A54:B54"/>
    <mergeCell ref="A55:B55"/>
    <mergeCell ref="A56:B56"/>
    <mergeCell ref="A58:C58"/>
    <mergeCell ref="A46:B46"/>
    <mergeCell ref="A47:B47"/>
    <mergeCell ref="A49:B49"/>
    <mergeCell ref="A50:B50"/>
    <mergeCell ref="A40:B40"/>
    <mergeCell ref="A41:B41"/>
    <mergeCell ref="A42:B42"/>
    <mergeCell ref="A43:B43"/>
    <mergeCell ref="A45:B45"/>
    <mergeCell ref="A34:B34"/>
    <mergeCell ref="A35:B35"/>
    <mergeCell ref="A36:B36"/>
    <mergeCell ref="A37:B37"/>
    <mergeCell ref="A39:B39"/>
    <mergeCell ref="A25:B25"/>
    <mergeCell ref="A27:B27"/>
    <mergeCell ref="A28:B28"/>
    <mergeCell ref="A29:B29"/>
    <mergeCell ref="A30:B30"/>
    <mergeCell ref="A31:B31"/>
    <mergeCell ref="A32:B32"/>
    <mergeCell ref="A33:B33"/>
    <mergeCell ref="A19:B19"/>
    <mergeCell ref="A20:B20"/>
    <mergeCell ref="A21:B21"/>
    <mergeCell ref="A22:B22"/>
    <mergeCell ref="A23:B23"/>
    <mergeCell ref="A24:B24"/>
    <mergeCell ref="A13:C13"/>
    <mergeCell ref="A15:D15"/>
    <mergeCell ref="A16:B16"/>
    <mergeCell ref="A17:B17"/>
    <mergeCell ref="A18:B18"/>
    <mergeCell ref="A8:D8"/>
    <mergeCell ref="A9:D9"/>
    <mergeCell ref="A10:B10"/>
    <mergeCell ref="A11:B11"/>
    <mergeCell ref="A12:B12"/>
    <mergeCell ref="A1:D1"/>
    <mergeCell ref="B2:D2"/>
    <mergeCell ref="B3:D3"/>
    <mergeCell ref="B4:D4"/>
    <mergeCell ref="B5:D5"/>
    <mergeCell ref="B6:D6"/>
  </mergeCells>
  <pageMargins left="0.51181102362204722" right="0.51181102362204722" top="0.78740157480314965" bottom="0.78740157480314965" header="0.31496062992125984" footer="0.31496062992125984"/>
  <pageSetup paperSize="9" fitToHeight="0" orientation="portrait" r:id="rId1"/>
  <headerFooter>
    <oddFooter>&amp;CPágina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10</vt:i4>
      </vt:variant>
    </vt:vector>
  </HeadingPairs>
  <TitlesOfParts>
    <vt:vector size="20" baseType="lpstr">
      <vt:lpstr>Quantidade de Cargo</vt:lpstr>
      <vt:lpstr>Quantidade de Hora-Extra</vt:lpstr>
      <vt:lpstr>Dados de Passagens e Diarias</vt:lpstr>
      <vt:lpstr>Modelo de Proposta</vt:lpstr>
      <vt:lpstr>Quadro Geral de Custo</vt:lpstr>
      <vt:lpstr>Agente de Portaria</vt:lpstr>
      <vt:lpstr>Uniforme</vt:lpstr>
      <vt:lpstr>Manutenção Equip.</vt:lpstr>
      <vt:lpstr>Previsão de Hora-Extra</vt:lpstr>
      <vt:lpstr>Hr-Extra Agente de Portaria</vt:lpstr>
      <vt:lpstr>'Agente de Portaria'!Area_de_impressao</vt:lpstr>
      <vt:lpstr>'Dados de Passagens e Diarias'!Area_de_impressao</vt:lpstr>
      <vt:lpstr>'Hr-Extra Agente de Portaria'!Area_de_impressao</vt:lpstr>
      <vt:lpstr>'Manutenção Equip.'!Area_de_impressao</vt:lpstr>
      <vt:lpstr>'Modelo de Proposta'!Area_de_impressao</vt:lpstr>
      <vt:lpstr>'Previsão de Hora-Extra'!Area_de_impressao</vt:lpstr>
      <vt:lpstr>'Quadro Geral de Custo'!Area_de_impressao</vt:lpstr>
      <vt:lpstr>'Quantidade de Cargo'!Area_de_impressao</vt:lpstr>
      <vt:lpstr>'Quantidade de Hora-Extra'!Area_de_impressao</vt:lpstr>
      <vt:lpstr>Uniforme!Area_de_impressao</vt:lpstr>
    </vt:vector>
  </TitlesOfParts>
  <Company>Conselho Federal de Enfermagem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Abraao Azevedo</dc:creator>
  <cp:lastModifiedBy>Abraao Azevedo</cp:lastModifiedBy>
  <cp:lastPrinted>2023-03-10T13:06:16Z</cp:lastPrinted>
  <dcterms:created xsi:type="dcterms:W3CDTF">2019-11-11T13:48:18Z</dcterms:created>
  <dcterms:modified xsi:type="dcterms:W3CDTF">2023-03-10T13:08:50Z</dcterms:modified>
</cp:coreProperties>
</file>